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CA Power Supply Aggregation (20221-2032)\NECA CSP No. 2\Instruction to Bidders_Final_with Annexes and Draft PSAs\NECA Bidding Documents_2\"/>
    </mc:Choice>
  </mc:AlternateContent>
  <xr:revisionPtr revIDLastSave="0" documentId="13_ncr:1_{E6666041-6ED0-4612-A8D5-3A1404445D2C}" xr6:coauthVersionLast="47" xr6:coauthVersionMax="47" xr10:uidLastSave="{00000000-0000-0000-0000-000000000000}"/>
  <workbookProtection workbookAlgorithmName="SHA-512" workbookHashValue="hLNdDiD6/KaDnENXWK/7IWK+yIh5aywbE6XoX52ASG8qRaImgfmqjZ9SOplmfpE2HTxFJr7KgIQjsu5XTyHYmQ==" workbookSaltValue="DSQtL1M6bJG1hk0Q1Jlk2A==" workbookSpinCount="100000" lockStructure="1"/>
  <bookViews>
    <workbookView xWindow="-108" yWindow="-108" windowWidth="23256" windowHeight="12456" xr2:uid="{B4E96689-36DD-47C7-BFFF-8B355792FC8E}"/>
  </bookViews>
  <sheets>
    <sheet name="Baseload" sheetId="1" r:id="rId1"/>
    <sheet name="Sheet1" sheetId="3" state="hidden" r:id="rId2"/>
    <sheet name="VOM Declaration" sheetId="4" r:id="rId3"/>
    <sheet name="Fuel Cost Declarati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0" i="1"/>
  <c r="L15" i="5" l="1"/>
  <c r="J5" i="5"/>
  <c r="C45" i="5"/>
  <c r="C25" i="5"/>
  <c r="E5" i="5"/>
  <c r="F5" i="5" s="1"/>
  <c r="C14" i="5"/>
  <c r="D14" i="5"/>
  <c r="B59" i="5"/>
  <c r="D59" i="5" s="1"/>
  <c r="I9" i="5"/>
  <c r="D42" i="1" s="1"/>
  <c r="L19" i="5"/>
  <c r="E59" i="5"/>
  <c r="E39" i="5"/>
  <c r="H19" i="5"/>
  <c r="J6" i="5"/>
  <c r="D33" i="1" s="1"/>
  <c r="I6" i="5"/>
  <c r="D32" i="1" s="1"/>
  <c r="K6" i="5"/>
  <c r="D34" i="1" s="1"/>
  <c r="I8" i="5"/>
  <c r="D37" i="1" s="1"/>
  <c r="I15" i="5"/>
  <c r="I19" i="5" s="1"/>
  <c r="D29" i="1"/>
  <c r="K8" i="5"/>
  <c r="D39" i="1" s="1"/>
  <c r="K9" i="5"/>
  <c r="D44" i="1" s="1"/>
  <c r="K10" i="5"/>
  <c r="D49" i="1" s="1"/>
  <c r="K11" i="5"/>
  <c r="D54" i="1" s="1"/>
  <c r="K12" i="5"/>
  <c r="D59" i="1" s="1"/>
  <c r="J8" i="5"/>
  <c r="D38" i="1" s="1"/>
  <c r="J9" i="5"/>
  <c r="D43" i="1" s="1"/>
  <c r="J10" i="5"/>
  <c r="D48" i="1" s="1"/>
  <c r="J11" i="5"/>
  <c r="D53" i="1" s="1"/>
  <c r="J12" i="5"/>
  <c r="D58" i="1" s="1"/>
  <c r="I10" i="5"/>
  <c r="D47" i="1" s="1"/>
  <c r="I11" i="5"/>
  <c r="D52" i="1" s="1"/>
  <c r="I12" i="5"/>
  <c r="D57" i="1" s="1"/>
  <c r="D28" i="1"/>
  <c r="I5" i="5"/>
  <c r="D27" i="1" s="1"/>
  <c r="B53" i="5"/>
  <c r="D53" i="5"/>
  <c r="D54" i="5" s="1"/>
  <c r="D56" i="5" s="1"/>
  <c r="C53" i="5"/>
  <c r="E52" i="5"/>
  <c r="F52" i="5" s="1"/>
  <c r="E51" i="5"/>
  <c r="F51" i="5" s="1"/>
  <c r="E50" i="5"/>
  <c r="F50" i="5" s="1"/>
  <c r="E49" i="5"/>
  <c r="E48" i="5"/>
  <c r="F48" i="5" s="1"/>
  <c r="E46" i="5"/>
  <c r="F46" i="5" s="1"/>
  <c r="B39" i="5"/>
  <c r="D33" i="5"/>
  <c r="D34" i="5" s="1"/>
  <c r="D36" i="5" s="1"/>
  <c r="C33" i="5"/>
  <c r="B33" i="5"/>
  <c r="E32" i="5"/>
  <c r="F32" i="5" s="1"/>
  <c r="E31" i="5"/>
  <c r="F31" i="5" s="1"/>
  <c r="E30" i="5"/>
  <c r="F30" i="5" s="1"/>
  <c r="E29" i="5"/>
  <c r="F29" i="5" s="1"/>
  <c r="E28" i="5"/>
  <c r="F28" i="5" s="1"/>
  <c r="E26" i="5"/>
  <c r="F26" i="5" s="1"/>
  <c r="B19" i="5"/>
  <c r="D19" i="5" s="1"/>
  <c r="C13" i="5"/>
  <c r="D13" i="5"/>
  <c r="B13" i="5"/>
  <c r="B14" i="5" s="1"/>
  <c r="B16" i="5" s="1"/>
  <c r="B25" i="5" s="1"/>
  <c r="E12" i="5"/>
  <c r="F12" i="5" s="1"/>
  <c r="E11" i="5"/>
  <c r="F11" i="5" s="1"/>
  <c r="E10" i="5"/>
  <c r="F10" i="5" s="1"/>
  <c r="E9" i="5"/>
  <c r="F9" i="5" s="1"/>
  <c r="E8" i="5"/>
  <c r="F8" i="5" s="1"/>
  <c r="E6" i="5"/>
  <c r="F6" i="5" s="1"/>
  <c r="A12" i="5"/>
  <c r="A32" i="5" s="1"/>
  <c r="A52" i="5" s="1"/>
  <c r="A11" i="5"/>
  <c r="A31" i="5" s="1"/>
  <c r="A51" i="5" s="1"/>
  <c r="A10" i="5"/>
  <c r="A30" i="5" s="1"/>
  <c r="A50" i="5" s="1"/>
  <c r="A9" i="5"/>
  <c r="A29" i="5" s="1"/>
  <c r="A49" i="5" s="1"/>
  <c r="A8" i="5"/>
  <c r="A28" i="5" s="1"/>
  <c r="A48" i="5" s="1"/>
  <c r="B1" i="5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E15" i="1"/>
  <c r="F15" i="1" s="1"/>
  <c r="E14" i="1"/>
  <c r="F14" i="1" s="1"/>
  <c r="C16" i="5" l="1"/>
  <c r="D16" i="5"/>
  <c r="D64" i="1"/>
  <c r="D63" i="1"/>
  <c r="D62" i="1"/>
  <c r="D40" i="1"/>
  <c r="D35" i="1"/>
  <c r="M32" i="1"/>
  <c r="O32" i="1"/>
  <c r="N32" i="1"/>
  <c r="P32" i="1"/>
  <c r="K32" i="1"/>
  <c r="H32" i="1"/>
  <c r="J32" i="1"/>
  <c r="G32" i="1"/>
  <c r="R32" i="1"/>
  <c r="F32" i="1"/>
  <c r="I32" i="1"/>
  <c r="Q32" i="1"/>
  <c r="L32" i="1"/>
  <c r="E32" i="1"/>
  <c r="K19" i="5"/>
  <c r="D66" i="1" s="1"/>
  <c r="D39" i="5"/>
  <c r="E33" i="1"/>
  <c r="D30" i="1"/>
  <c r="K27" i="1"/>
  <c r="R27" i="1"/>
  <c r="J27" i="1"/>
  <c r="Q27" i="1"/>
  <c r="I27" i="1"/>
  <c r="E27" i="1"/>
  <c r="P27" i="1"/>
  <c r="H27" i="1"/>
  <c r="M27" i="1"/>
  <c r="O27" i="1"/>
  <c r="G27" i="1"/>
  <c r="N27" i="1"/>
  <c r="F27" i="1"/>
  <c r="L27" i="1"/>
  <c r="L5" i="5"/>
  <c r="M5" i="5" s="1"/>
  <c r="L6" i="5"/>
  <c r="M6" i="5" s="1"/>
  <c r="E34" i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E28" i="1"/>
  <c r="F28" i="1" s="1"/>
  <c r="E29" i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I13" i="5"/>
  <c r="L8" i="5"/>
  <c r="L10" i="5"/>
  <c r="M10" i="5" s="1"/>
  <c r="J13" i="5"/>
  <c r="J14" i="5" s="1"/>
  <c r="J16" i="5" s="1"/>
  <c r="L12" i="5"/>
  <c r="M12" i="5" s="1"/>
  <c r="L9" i="5"/>
  <c r="M9" i="5" s="1"/>
  <c r="L11" i="5"/>
  <c r="M11" i="5" s="1"/>
  <c r="K13" i="5"/>
  <c r="K14" i="5" s="1"/>
  <c r="K16" i="5" s="1"/>
  <c r="H12" i="5"/>
  <c r="H11" i="5"/>
  <c r="H10" i="5"/>
  <c r="H9" i="5"/>
  <c r="H8" i="5"/>
  <c r="E53" i="5"/>
  <c r="F53" i="5" s="1"/>
  <c r="F49" i="5"/>
  <c r="B34" i="5"/>
  <c r="B36" i="5" s="1"/>
  <c r="B45" i="5" s="1"/>
  <c r="B54" i="5" s="1"/>
  <c r="B56" i="5" s="1"/>
  <c r="E33" i="5"/>
  <c r="F33" i="5" s="1"/>
  <c r="E13" i="5"/>
  <c r="F13" i="5" s="1"/>
  <c r="E38" i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E39" i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D56" i="1" l="1"/>
  <c r="P56" i="1" s="1"/>
  <c r="D61" i="1"/>
  <c r="J61" i="1" s="1"/>
  <c r="D46" i="1"/>
  <c r="M46" i="1" s="1"/>
  <c r="D51" i="1"/>
  <c r="N51" i="1" s="1"/>
  <c r="D36" i="1"/>
  <c r="O36" i="1" s="1"/>
  <c r="D41" i="1"/>
  <c r="E35" i="1"/>
  <c r="D31" i="1"/>
  <c r="O31" i="1" s="1"/>
  <c r="F33" i="1"/>
  <c r="F35" i="1" s="1"/>
  <c r="E30" i="1"/>
  <c r="F30" i="1"/>
  <c r="G28" i="1"/>
  <c r="M8" i="5"/>
  <c r="L13" i="5"/>
  <c r="I14" i="5"/>
  <c r="I16" i="5" s="1"/>
  <c r="E14" i="5"/>
  <c r="E37" i="1"/>
  <c r="E40" i="1" s="1"/>
  <c r="D8" i="4"/>
  <c r="D60" i="1"/>
  <c r="E59" i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E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5" i="1"/>
  <c r="E54" i="1"/>
  <c r="F54" i="1" s="1"/>
  <c r="G54" i="1" s="1"/>
  <c r="H54" i="1" s="1"/>
  <c r="I54" i="1" s="1"/>
  <c r="J54" i="1" s="1"/>
  <c r="K54" i="1" s="1"/>
  <c r="L54" i="1" s="1"/>
  <c r="M54" i="1" s="1"/>
  <c r="N54" i="1" s="1"/>
  <c r="O54" i="1" s="1"/>
  <c r="P54" i="1" s="1"/>
  <c r="Q54" i="1" s="1"/>
  <c r="R54" i="1" s="1"/>
  <c r="E53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0" i="1"/>
  <c r="E49" i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E48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5" i="1"/>
  <c r="E44" i="1"/>
  <c r="F44" i="1" s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Q44" i="1" s="1"/>
  <c r="R44" i="1" s="1"/>
  <c r="E43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O51" i="1" l="1"/>
  <c r="G51" i="1"/>
  <c r="R56" i="1"/>
  <c r="Q61" i="1"/>
  <c r="J56" i="1"/>
  <c r="I56" i="1"/>
  <c r="Q56" i="1"/>
  <c r="K61" i="1"/>
  <c r="K56" i="1"/>
  <c r="L61" i="1"/>
  <c r="L56" i="1"/>
  <c r="E61" i="1"/>
  <c r="M61" i="1"/>
  <c r="M56" i="1"/>
  <c r="N61" i="1"/>
  <c r="G56" i="1"/>
  <c r="O56" i="1"/>
  <c r="H61" i="1"/>
  <c r="P61" i="1"/>
  <c r="E56" i="1"/>
  <c r="F61" i="1"/>
  <c r="F56" i="1"/>
  <c r="N56" i="1"/>
  <c r="G61" i="1"/>
  <c r="O61" i="1"/>
  <c r="H56" i="1"/>
  <c r="I61" i="1"/>
  <c r="R61" i="1"/>
  <c r="G46" i="1"/>
  <c r="N46" i="1"/>
  <c r="F46" i="1"/>
  <c r="O46" i="1"/>
  <c r="H51" i="1"/>
  <c r="J51" i="1"/>
  <c r="R51" i="1"/>
  <c r="R46" i="1"/>
  <c r="K51" i="1"/>
  <c r="P46" i="1"/>
  <c r="I51" i="1"/>
  <c r="Q51" i="1"/>
  <c r="Q46" i="1"/>
  <c r="K46" i="1"/>
  <c r="L51" i="1"/>
  <c r="H46" i="1"/>
  <c r="L46" i="1"/>
  <c r="M51" i="1"/>
  <c r="E66" i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R66" i="1" s="1"/>
  <c r="P51" i="1"/>
  <c r="I46" i="1"/>
  <c r="J46" i="1"/>
  <c r="E51" i="1"/>
  <c r="E46" i="1"/>
  <c r="F51" i="1"/>
  <c r="E41" i="1"/>
  <c r="M36" i="1"/>
  <c r="F36" i="1"/>
  <c r="H36" i="1"/>
  <c r="J36" i="1"/>
  <c r="L36" i="1"/>
  <c r="K36" i="1"/>
  <c r="E36" i="1"/>
  <c r="P36" i="1"/>
  <c r="N36" i="1"/>
  <c r="I36" i="1"/>
  <c r="R36" i="1"/>
  <c r="Q36" i="1"/>
  <c r="G36" i="1"/>
  <c r="N31" i="1"/>
  <c r="M31" i="1"/>
  <c r="L31" i="1"/>
  <c r="J31" i="1"/>
  <c r="R31" i="1"/>
  <c r="F31" i="1"/>
  <c r="G31" i="1"/>
  <c r="I31" i="1"/>
  <c r="E31" i="1"/>
  <c r="H31" i="1"/>
  <c r="P31" i="1"/>
  <c r="Q31" i="1"/>
  <c r="K31" i="1"/>
  <c r="G33" i="1"/>
  <c r="H33" i="1" s="1"/>
  <c r="G30" i="1"/>
  <c r="H28" i="1"/>
  <c r="M13" i="5"/>
  <c r="L14" i="5"/>
  <c r="F14" i="5"/>
  <c r="E15" i="5" s="1"/>
  <c r="F15" i="5" s="1"/>
  <c r="C19" i="5" s="1"/>
  <c r="F19" i="5" s="1"/>
  <c r="E50" i="1"/>
  <c r="E45" i="1"/>
  <c r="E60" i="1"/>
  <c r="E55" i="1"/>
  <c r="F58" i="1"/>
  <c r="F60" i="1" s="1"/>
  <c r="F43" i="1"/>
  <c r="F53" i="1"/>
  <c r="F48" i="1"/>
  <c r="Y58" i="4"/>
  <c r="W58" i="4"/>
  <c r="U58" i="4"/>
  <c r="S58" i="4"/>
  <c r="Q58" i="4"/>
  <c r="O58" i="4"/>
  <c r="M58" i="4"/>
  <c r="K58" i="4"/>
  <c r="I58" i="4"/>
  <c r="G58" i="4"/>
  <c r="E58" i="4"/>
  <c r="C58" i="4"/>
  <c r="Z57" i="4"/>
  <c r="X57" i="4"/>
  <c r="V57" i="4"/>
  <c r="T57" i="4"/>
  <c r="R57" i="4"/>
  <c r="P57" i="4"/>
  <c r="N57" i="4"/>
  <c r="L57" i="4"/>
  <c r="J57" i="4"/>
  <c r="H57" i="4"/>
  <c r="F57" i="4"/>
  <c r="D57" i="4"/>
  <c r="Z56" i="4"/>
  <c r="X56" i="4"/>
  <c r="V56" i="4"/>
  <c r="T56" i="4"/>
  <c r="R56" i="4"/>
  <c r="P56" i="4"/>
  <c r="N56" i="4"/>
  <c r="L56" i="4"/>
  <c r="J56" i="4"/>
  <c r="H56" i="4"/>
  <c r="F56" i="4"/>
  <c r="D56" i="4"/>
  <c r="Z55" i="4"/>
  <c r="X55" i="4"/>
  <c r="V55" i="4"/>
  <c r="T55" i="4"/>
  <c r="R55" i="4"/>
  <c r="P55" i="4"/>
  <c r="N55" i="4"/>
  <c r="L55" i="4"/>
  <c r="J55" i="4"/>
  <c r="H55" i="4"/>
  <c r="F55" i="4"/>
  <c r="D55" i="4"/>
  <c r="Z54" i="4"/>
  <c r="X54" i="4"/>
  <c r="V54" i="4"/>
  <c r="T54" i="4"/>
  <c r="R54" i="4"/>
  <c r="P54" i="4"/>
  <c r="N54" i="4"/>
  <c r="L54" i="4"/>
  <c r="J54" i="4"/>
  <c r="H54" i="4"/>
  <c r="F54" i="4"/>
  <c r="D54" i="4"/>
  <c r="Z53" i="4"/>
  <c r="X53" i="4"/>
  <c r="V53" i="4"/>
  <c r="T53" i="4"/>
  <c r="R53" i="4"/>
  <c r="P53" i="4"/>
  <c r="N53" i="4"/>
  <c r="L53" i="4"/>
  <c r="J53" i="4"/>
  <c r="H53" i="4"/>
  <c r="F53" i="4"/>
  <c r="D53" i="4"/>
  <c r="Z52" i="4"/>
  <c r="X52" i="4"/>
  <c r="V52" i="4"/>
  <c r="T52" i="4"/>
  <c r="R52" i="4"/>
  <c r="P52" i="4"/>
  <c r="N52" i="4"/>
  <c r="L52" i="4"/>
  <c r="J52" i="4"/>
  <c r="H52" i="4"/>
  <c r="F52" i="4"/>
  <c r="D52" i="4"/>
  <c r="Z51" i="4"/>
  <c r="X51" i="4"/>
  <c r="V51" i="4"/>
  <c r="T51" i="4"/>
  <c r="R51" i="4"/>
  <c r="P51" i="4"/>
  <c r="N51" i="4"/>
  <c r="L51" i="4"/>
  <c r="J51" i="4"/>
  <c r="H51" i="4"/>
  <c r="F51" i="4"/>
  <c r="D51" i="4"/>
  <c r="Z50" i="4"/>
  <c r="X50" i="4"/>
  <c r="V50" i="4"/>
  <c r="T50" i="4"/>
  <c r="R50" i="4"/>
  <c r="P50" i="4"/>
  <c r="N50" i="4"/>
  <c r="L50" i="4"/>
  <c r="J50" i="4"/>
  <c r="H50" i="4"/>
  <c r="F50" i="4"/>
  <c r="D50" i="4"/>
  <c r="Z49" i="4"/>
  <c r="X49" i="4"/>
  <c r="V49" i="4"/>
  <c r="T49" i="4"/>
  <c r="R49" i="4"/>
  <c r="P49" i="4"/>
  <c r="N49" i="4"/>
  <c r="L49" i="4"/>
  <c r="J49" i="4"/>
  <c r="H49" i="4"/>
  <c r="F49" i="4"/>
  <c r="D49" i="4"/>
  <c r="Z48" i="4"/>
  <c r="X48" i="4"/>
  <c r="V48" i="4"/>
  <c r="T48" i="4"/>
  <c r="R48" i="4"/>
  <c r="P48" i="4"/>
  <c r="N48" i="4"/>
  <c r="L48" i="4"/>
  <c r="J48" i="4"/>
  <c r="H48" i="4"/>
  <c r="F48" i="4"/>
  <c r="D48" i="4"/>
  <c r="Z47" i="4"/>
  <c r="X47" i="4"/>
  <c r="V47" i="4"/>
  <c r="T47" i="4"/>
  <c r="R47" i="4"/>
  <c r="P47" i="4"/>
  <c r="N47" i="4"/>
  <c r="L47" i="4"/>
  <c r="J47" i="4"/>
  <c r="H47" i="4"/>
  <c r="F47" i="4"/>
  <c r="D47" i="4"/>
  <c r="Z46" i="4"/>
  <c r="X46" i="4"/>
  <c r="V46" i="4"/>
  <c r="T46" i="4"/>
  <c r="R46" i="4"/>
  <c r="P46" i="4"/>
  <c r="N46" i="4"/>
  <c r="L46" i="4"/>
  <c r="J46" i="4"/>
  <c r="H46" i="4"/>
  <c r="F46" i="4"/>
  <c r="D46" i="4"/>
  <c r="Z45" i="4"/>
  <c r="X45" i="4"/>
  <c r="V45" i="4"/>
  <c r="T45" i="4"/>
  <c r="R45" i="4"/>
  <c r="P45" i="4"/>
  <c r="N45" i="4"/>
  <c r="L45" i="4"/>
  <c r="J45" i="4"/>
  <c r="H45" i="4"/>
  <c r="F45" i="4"/>
  <c r="D45" i="4"/>
  <c r="Z44" i="4"/>
  <c r="X44" i="4"/>
  <c r="V44" i="4"/>
  <c r="T44" i="4"/>
  <c r="R44" i="4"/>
  <c r="P44" i="4"/>
  <c r="N44" i="4"/>
  <c r="L44" i="4"/>
  <c r="J44" i="4"/>
  <c r="H44" i="4"/>
  <c r="F44" i="4"/>
  <c r="D44" i="4"/>
  <c r="Z43" i="4"/>
  <c r="X43" i="4"/>
  <c r="V43" i="4"/>
  <c r="T43" i="4"/>
  <c r="R43" i="4"/>
  <c r="P43" i="4"/>
  <c r="N43" i="4"/>
  <c r="L43" i="4"/>
  <c r="J43" i="4"/>
  <c r="H43" i="4"/>
  <c r="F43" i="4"/>
  <c r="D43" i="4"/>
  <c r="Z42" i="4"/>
  <c r="X42" i="4"/>
  <c r="V42" i="4"/>
  <c r="T42" i="4"/>
  <c r="R42" i="4"/>
  <c r="P42" i="4"/>
  <c r="N42" i="4"/>
  <c r="L42" i="4"/>
  <c r="J42" i="4"/>
  <c r="H42" i="4"/>
  <c r="F42" i="4"/>
  <c r="D42" i="4"/>
  <c r="Z41" i="4"/>
  <c r="X41" i="4"/>
  <c r="V41" i="4"/>
  <c r="T41" i="4"/>
  <c r="R41" i="4"/>
  <c r="P41" i="4"/>
  <c r="N41" i="4"/>
  <c r="L41" i="4"/>
  <c r="J41" i="4"/>
  <c r="H41" i="4"/>
  <c r="F41" i="4"/>
  <c r="D41" i="4"/>
  <c r="Z40" i="4"/>
  <c r="X40" i="4"/>
  <c r="V40" i="4"/>
  <c r="T40" i="4"/>
  <c r="R40" i="4"/>
  <c r="P40" i="4"/>
  <c r="N40" i="4"/>
  <c r="L40" i="4"/>
  <c r="J40" i="4"/>
  <c r="H40" i="4"/>
  <c r="F40" i="4"/>
  <c r="D40" i="4"/>
  <c r="Z39" i="4"/>
  <c r="X39" i="4"/>
  <c r="V39" i="4"/>
  <c r="T39" i="4"/>
  <c r="R39" i="4"/>
  <c r="P39" i="4"/>
  <c r="N39" i="4"/>
  <c r="L39" i="4"/>
  <c r="J39" i="4"/>
  <c r="H39" i="4"/>
  <c r="F39" i="4"/>
  <c r="D39" i="4"/>
  <c r="Z38" i="4"/>
  <c r="X38" i="4"/>
  <c r="V38" i="4"/>
  <c r="T38" i="4"/>
  <c r="R38" i="4"/>
  <c r="P38" i="4"/>
  <c r="N38" i="4"/>
  <c r="L38" i="4"/>
  <c r="J38" i="4"/>
  <c r="H38" i="4"/>
  <c r="F38" i="4"/>
  <c r="D3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E28" i="4"/>
  <c r="G28" i="4"/>
  <c r="I28" i="4"/>
  <c r="K28" i="4"/>
  <c r="M28" i="4"/>
  <c r="O28" i="4"/>
  <c r="Q28" i="4"/>
  <c r="S28" i="4"/>
  <c r="U28" i="4"/>
  <c r="W28" i="4"/>
  <c r="Y28" i="4"/>
  <c r="C28" i="4"/>
  <c r="D25" i="1"/>
  <c r="S76" i="1"/>
  <c r="S75" i="1"/>
  <c r="C60" i="4" l="1"/>
  <c r="D23" i="1" s="1"/>
  <c r="D24" i="1" s="1"/>
  <c r="G35" i="1"/>
  <c r="H35" i="1"/>
  <c r="I33" i="1"/>
  <c r="H30" i="1"/>
  <c r="I28" i="1"/>
  <c r="M14" i="5"/>
  <c r="L16" i="5" s="1"/>
  <c r="E16" i="5"/>
  <c r="G58" i="1"/>
  <c r="G60" i="1" s="1"/>
  <c r="L59" i="4"/>
  <c r="F29" i="4"/>
  <c r="P59" i="4"/>
  <c r="R59" i="4"/>
  <c r="F59" i="4"/>
  <c r="V59" i="4"/>
  <c r="G43" i="1"/>
  <c r="F45" i="1"/>
  <c r="F50" i="1"/>
  <c r="G48" i="1"/>
  <c r="F55" i="1"/>
  <c r="G53" i="1"/>
  <c r="H29" i="4"/>
  <c r="J29" i="4"/>
  <c r="N29" i="4"/>
  <c r="P29" i="4"/>
  <c r="R29" i="4"/>
  <c r="T29" i="4"/>
  <c r="Z29" i="4"/>
  <c r="H59" i="4"/>
  <c r="X59" i="4"/>
  <c r="J59" i="4"/>
  <c r="Z59" i="4"/>
  <c r="D59" i="4"/>
  <c r="T59" i="4"/>
  <c r="N59" i="4"/>
  <c r="L29" i="4"/>
  <c r="X29" i="4"/>
  <c r="V29" i="4"/>
  <c r="D29" i="4"/>
  <c r="C30" i="4"/>
  <c r="D22" i="1" s="1"/>
  <c r="J33" i="1" l="1"/>
  <c r="I35" i="1"/>
  <c r="J28" i="1"/>
  <c r="I30" i="1"/>
  <c r="M15" i="5"/>
  <c r="J19" i="5" s="1"/>
  <c r="M19" i="5" s="1"/>
  <c r="M16" i="5"/>
  <c r="F16" i="5"/>
  <c r="H58" i="1"/>
  <c r="H60" i="1" s="1"/>
  <c r="H43" i="1"/>
  <c r="G45" i="1"/>
  <c r="D85" i="1"/>
  <c r="G55" i="1"/>
  <c r="H53" i="1"/>
  <c r="G50" i="1"/>
  <c r="H48" i="1"/>
  <c r="K33" i="1" l="1"/>
  <c r="J35" i="1"/>
  <c r="K28" i="1"/>
  <c r="J30" i="1"/>
  <c r="E25" i="5"/>
  <c r="F25" i="5" s="1"/>
  <c r="C34" i="5"/>
  <c r="C36" i="5" s="1"/>
  <c r="I58" i="1"/>
  <c r="J58" i="1" s="1"/>
  <c r="I43" i="1"/>
  <c r="H45" i="1"/>
  <c r="I48" i="1"/>
  <c r="H50" i="1"/>
  <c r="I53" i="1"/>
  <c r="H55" i="1"/>
  <c r="L33" i="1" l="1"/>
  <c r="K35" i="1"/>
  <c r="L28" i="1"/>
  <c r="K30" i="1"/>
  <c r="E34" i="5"/>
  <c r="I60" i="1"/>
  <c r="J43" i="1"/>
  <c r="I45" i="1"/>
  <c r="K58" i="1"/>
  <c r="J60" i="1"/>
  <c r="J53" i="1"/>
  <c r="I55" i="1"/>
  <c r="J48" i="1"/>
  <c r="I50" i="1"/>
  <c r="D83" i="1"/>
  <c r="D82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F37" i="1"/>
  <c r="F62" i="1" s="1"/>
  <c r="G37" i="1"/>
  <c r="G62" i="1" s="1"/>
  <c r="H37" i="1"/>
  <c r="I37" i="1"/>
  <c r="I62" i="1" s="1"/>
  <c r="J37" i="1"/>
  <c r="J62" i="1" s="1"/>
  <c r="K37" i="1"/>
  <c r="K62" i="1" s="1"/>
  <c r="L37" i="1"/>
  <c r="M37" i="1"/>
  <c r="M62" i="1" s="1"/>
  <c r="N37" i="1"/>
  <c r="N62" i="1" s="1"/>
  <c r="O37" i="1"/>
  <c r="O62" i="1" s="1"/>
  <c r="P37" i="1"/>
  <c r="P62" i="1" s="1"/>
  <c r="Q37" i="1"/>
  <c r="Q62" i="1" s="1"/>
  <c r="R37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E76" i="1"/>
  <c r="E23" i="1" s="1"/>
  <c r="E75" i="1"/>
  <c r="E22" i="1" s="1"/>
  <c r="R20" i="1"/>
  <c r="R83" i="1" s="1"/>
  <c r="Q20" i="1"/>
  <c r="Q83" i="1" s="1"/>
  <c r="P20" i="1"/>
  <c r="P83" i="1" s="1"/>
  <c r="O20" i="1"/>
  <c r="O83" i="1" s="1"/>
  <c r="N20" i="1"/>
  <c r="N83" i="1" s="1"/>
  <c r="M20" i="1"/>
  <c r="M83" i="1" s="1"/>
  <c r="L20" i="1"/>
  <c r="L83" i="1" s="1"/>
  <c r="K20" i="1"/>
  <c r="K83" i="1" s="1"/>
  <c r="J20" i="1"/>
  <c r="J83" i="1" s="1"/>
  <c r="I20" i="1"/>
  <c r="I83" i="1" s="1"/>
  <c r="H20" i="1"/>
  <c r="H83" i="1" s="1"/>
  <c r="G20" i="1"/>
  <c r="G83" i="1" s="1"/>
  <c r="F20" i="1"/>
  <c r="F83" i="1" s="1"/>
  <c r="E20" i="1"/>
  <c r="E83" i="1" s="1"/>
  <c r="E64" i="1"/>
  <c r="E62" i="1"/>
  <c r="E25" i="1"/>
  <c r="F19" i="1"/>
  <c r="F82" i="1" s="1"/>
  <c r="G19" i="1"/>
  <c r="H19" i="1"/>
  <c r="H82" i="1" s="1"/>
  <c r="I19" i="1"/>
  <c r="I82" i="1" s="1"/>
  <c r="J19" i="1"/>
  <c r="J82" i="1" s="1"/>
  <c r="K19" i="1"/>
  <c r="L19" i="1"/>
  <c r="L82" i="1" s="1"/>
  <c r="M19" i="1"/>
  <c r="N19" i="1"/>
  <c r="N82" i="1" s="1"/>
  <c r="O19" i="1"/>
  <c r="O82" i="1" s="1"/>
  <c r="P19" i="1"/>
  <c r="P82" i="1" s="1"/>
  <c r="Q19" i="1"/>
  <c r="R19" i="1"/>
  <c r="R82" i="1" s="1"/>
  <c r="M33" i="1" l="1"/>
  <c r="L35" i="1"/>
  <c r="M28" i="1"/>
  <c r="L30" i="1"/>
  <c r="H40" i="1"/>
  <c r="F34" i="5"/>
  <c r="E35" i="5" s="1"/>
  <c r="F35" i="5" s="1"/>
  <c r="C39" i="5" s="1"/>
  <c r="F39" i="5" s="1"/>
  <c r="D67" i="1"/>
  <c r="D86" i="1" s="1"/>
  <c r="F22" i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H62" i="1"/>
  <c r="J45" i="1"/>
  <c r="K43" i="1"/>
  <c r="D65" i="1"/>
  <c r="H84" i="1"/>
  <c r="Q82" i="1"/>
  <c r="Q84" i="1" s="1"/>
  <c r="G82" i="1"/>
  <c r="G84" i="1" s="1"/>
  <c r="I84" i="1"/>
  <c r="P84" i="1"/>
  <c r="O84" i="1"/>
  <c r="M82" i="1"/>
  <c r="M84" i="1" s="1"/>
  <c r="R84" i="1"/>
  <c r="J84" i="1"/>
  <c r="K82" i="1"/>
  <c r="K84" i="1" s="1"/>
  <c r="K48" i="1"/>
  <c r="J50" i="1"/>
  <c r="L58" i="1"/>
  <c r="K60" i="1"/>
  <c r="K53" i="1"/>
  <c r="J55" i="1"/>
  <c r="F84" i="1"/>
  <c r="N84" i="1"/>
  <c r="L84" i="1"/>
  <c r="L62" i="1"/>
  <c r="R62" i="1"/>
  <c r="F64" i="1"/>
  <c r="F40" i="1"/>
  <c r="G40" i="1"/>
  <c r="E63" i="1"/>
  <c r="E67" i="1" s="1"/>
  <c r="F23" i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E24" i="1"/>
  <c r="E85" i="1" s="1"/>
  <c r="M35" i="1" l="1"/>
  <c r="N33" i="1"/>
  <c r="N28" i="1"/>
  <c r="M30" i="1"/>
  <c r="E36" i="5"/>
  <c r="L43" i="1"/>
  <c r="K45" i="1"/>
  <c r="E86" i="1"/>
  <c r="M58" i="1"/>
  <c r="L60" i="1"/>
  <c r="L53" i="1"/>
  <c r="K55" i="1"/>
  <c r="K50" i="1"/>
  <c r="L48" i="1"/>
  <c r="E65" i="1"/>
  <c r="F63" i="1"/>
  <c r="G64" i="1"/>
  <c r="F25" i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E19" i="1"/>
  <c r="N35" i="1" l="1"/>
  <c r="O33" i="1"/>
  <c r="O28" i="1"/>
  <c r="N30" i="1"/>
  <c r="F36" i="5"/>
  <c r="F65" i="1"/>
  <c r="F67" i="1"/>
  <c r="F86" i="1" s="1"/>
  <c r="L45" i="1"/>
  <c r="M43" i="1"/>
  <c r="E82" i="1"/>
  <c r="E84" i="1" s="1"/>
  <c r="L50" i="1"/>
  <c r="M48" i="1"/>
  <c r="M53" i="1"/>
  <c r="L55" i="1"/>
  <c r="M60" i="1"/>
  <c r="N58" i="1"/>
  <c r="G63" i="1"/>
  <c r="H64" i="1"/>
  <c r="I40" i="1"/>
  <c r="F24" i="1"/>
  <c r="F85" i="1" s="1"/>
  <c r="D84" i="1"/>
  <c r="D87" i="1" l="1"/>
  <c r="O35" i="1"/>
  <c r="P33" i="1"/>
  <c r="O30" i="1"/>
  <c r="P28" i="1"/>
  <c r="E45" i="5"/>
  <c r="F45" i="5" s="1"/>
  <c r="C54" i="5"/>
  <c r="C56" i="5" s="1"/>
  <c r="G65" i="1"/>
  <c r="G67" i="1"/>
  <c r="G86" i="1" s="1"/>
  <c r="M45" i="1"/>
  <c r="N43" i="1"/>
  <c r="N60" i="1"/>
  <c r="O58" i="1"/>
  <c r="M55" i="1"/>
  <c r="N53" i="1"/>
  <c r="M50" i="1"/>
  <c r="N48" i="1"/>
  <c r="H63" i="1"/>
  <c r="H67" i="1" s="1"/>
  <c r="I64" i="1"/>
  <c r="J40" i="1"/>
  <c r="G24" i="1"/>
  <c r="G85" i="1" s="1"/>
  <c r="F87" i="1"/>
  <c r="F89" i="1" s="1"/>
  <c r="F91" i="1" s="1"/>
  <c r="F103" i="1" s="1"/>
  <c r="E87" i="1"/>
  <c r="E89" i="1" s="1"/>
  <c r="D89" i="1" l="1"/>
  <c r="D91" i="1" s="1"/>
  <c r="I13" i="1" s="1"/>
  <c r="P35" i="1"/>
  <c r="Q33" i="1"/>
  <c r="P30" i="1"/>
  <c r="Q28" i="1"/>
  <c r="E54" i="5"/>
  <c r="G87" i="1"/>
  <c r="G89" i="1" s="1"/>
  <c r="G91" i="1" s="1"/>
  <c r="G103" i="1" s="1"/>
  <c r="N45" i="1"/>
  <c r="O43" i="1"/>
  <c r="O60" i="1"/>
  <c r="P58" i="1"/>
  <c r="N50" i="1"/>
  <c r="O48" i="1"/>
  <c r="N55" i="1"/>
  <c r="O53" i="1"/>
  <c r="I63" i="1"/>
  <c r="I67" i="1" s="1"/>
  <c r="H86" i="1"/>
  <c r="H65" i="1"/>
  <c r="J64" i="1"/>
  <c r="K40" i="1"/>
  <c r="H24" i="1"/>
  <c r="H85" i="1" s="1"/>
  <c r="E91" i="1"/>
  <c r="E103" i="1" s="1"/>
  <c r="F94" i="1"/>
  <c r="D103" i="1" l="1"/>
  <c r="D94" i="1"/>
  <c r="Q35" i="1"/>
  <c r="R33" i="1"/>
  <c r="R35" i="1" s="1"/>
  <c r="R28" i="1"/>
  <c r="R30" i="1" s="1"/>
  <c r="Q30" i="1"/>
  <c r="F54" i="5"/>
  <c r="E55" i="5" s="1"/>
  <c r="F55" i="5" s="1"/>
  <c r="C59" i="5" s="1"/>
  <c r="F59" i="5" s="1"/>
  <c r="P43" i="1"/>
  <c r="O45" i="1"/>
  <c r="O55" i="1"/>
  <c r="P53" i="1"/>
  <c r="P60" i="1"/>
  <c r="Q58" i="1"/>
  <c r="P48" i="1"/>
  <c r="O50" i="1"/>
  <c r="I65" i="1"/>
  <c r="I86" i="1"/>
  <c r="J63" i="1"/>
  <c r="K64" i="1"/>
  <c r="L40" i="1"/>
  <c r="H87" i="1"/>
  <c r="H89" i="1" s="1"/>
  <c r="I24" i="1"/>
  <c r="I85" i="1" s="1"/>
  <c r="E94" i="1"/>
  <c r="G94" i="1"/>
  <c r="E56" i="5" l="1"/>
  <c r="F56" i="5" s="1"/>
  <c r="J65" i="1"/>
  <c r="J67" i="1"/>
  <c r="J86" i="1" s="1"/>
  <c r="P45" i="1"/>
  <c r="Q43" i="1"/>
  <c r="Q60" i="1"/>
  <c r="R58" i="1"/>
  <c r="R60" i="1" s="1"/>
  <c r="P55" i="1"/>
  <c r="Q53" i="1"/>
  <c r="Q48" i="1"/>
  <c r="P50" i="1"/>
  <c r="I87" i="1"/>
  <c r="I89" i="1" s="1"/>
  <c r="K63" i="1"/>
  <c r="K67" i="1" s="1"/>
  <c r="L64" i="1"/>
  <c r="M40" i="1"/>
  <c r="H91" i="1"/>
  <c r="H103" i="1" s="1"/>
  <c r="J24" i="1"/>
  <c r="J85" i="1" s="1"/>
  <c r="R43" i="1" l="1"/>
  <c r="R45" i="1" s="1"/>
  <c r="Q45" i="1"/>
  <c r="I91" i="1"/>
  <c r="I103" i="1" s="1"/>
  <c r="J87" i="1"/>
  <c r="J89" i="1" s="1"/>
  <c r="J91" i="1" s="1"/>
  <c r="J103" i="1" s="1"/>
  <c r="R48" i="1"/>
  <c r="R50" i="1" s="1"/>
  <c r="Q50" i="1"/>
  <c r="R53" i="1"/>
  <c r="R55" i="1" s="1"/>
  <c r="Q55" i="1"/>
  <c r="K86" i="1"/>
  <c r="K65" i="1"/>
  <c r="L63" i="1"/>
  <c r="L67" i="1" s="1"/>
  <c r="M64" i="1"/>
  <c r="N40" i="1"/>
  <c r="H94" i="1"/>
  <c r="K24" i="1"/>
  <c r="K85" i="1" s="1"/>
  <c r="I94" i="1" l="1"/>
  <c r="K87" i="1"/>
  <c r="K89" i="1" s="1"/>
  <c r="K91" i="1" s="1"/>
  <c r="L65" i="1"/>
  <c r="L86" i="1"/>
  <c r="M63" i="1"/>
  <c r="M67" i="1" s="1"/>
  <c r="N64" i="1"/>
  <c r="O40" i="1"/>
  <c r="L24" i="1"/>
  <c r="L85" i="1" s="1"/>
  <c r="J94" i="1"/>
  <c r="L87" i="1" l="1"/>
  <c r="L89" i="1" s="1"/>
  <c r="L91" i="1" s="1"/>
  <c r="M65" i="1"/>
  <c r="M86" i="1"/>
  <c r="N63" i="1"/>
  <c r="N67" i="1" s="1"/>
  <c r="O64" i="1"/>
  <c r="P40" i="1"/>
  <c r="M24" i="1"/>
  <c r="M85" i="1" s="1"/>
  <c r="K94" i="1"/>
  <c r="K103" i="1"/>
  <c r="M87" i="1" l="1"/>
  <c r="M89" i="1" s="1"/>
  <c r="N65" i="1"/>
  <c r="N86" i="1"/>
  <c r="O63" i="1"/>
  <c r="O67" i="1" s="1"/>
  <c r="P64" i="1"/>
  <c r="Q40" i="1"/>
  <c r="N24" i="1"/>
  <c r="N85" i="1" s="1"/>
  <c r="L94" i="1"/>
  <c r="L103" i="1"/>
  <c r="M91" i="1" l="1"/>
  <c r="M94" i="1" s="1"/>
  <c r="N87" i="1"/>
  <c r="N89" i="1" s="1"/>
  <c r="O65" i="1"/>
  <c r="O86" i="1"/>
  <c r="P63" i="1"/>
  <c r="P67" i="1" s="1"/>
  <c r="R64" i="1"/>
  <c r="Q64" i="1"/>
  <c r="R40" i="1"/>
  <c r="O24" i="1"/>
  <c r="O85" i="1" s="1"/>
  <c r="N91" i="1" l="1"/>
  <c r="N94" i="1" s="1"/>
  <c r="M103" i="1"/>
  <c r="O87" i="1"/>
  <c r="O89" i="1" s="1"/>
  <c r="P65" i="1"/>
  <c r="P86" i="1"/>
  <c r="Q63" i="1"/>
  <c r="Q67" i="1" s="1"/>
  <c r="P24" i="1"/>
  <c r="P85" i="1" s="1"/>
  <c r="N103" i="1" l="1"/>
  <c r="P87" i="1"/>
  <c r="P89" i="1" s="1"/>
  <c r="O91" i="1"/>
  <c r="O103" i="1" s="1"/>
  <c r="Q65" i="1"/>
  <c r="Q86" i="1"/>
  <c r="R63" i="1"/>
  <c r="R67" i="1" s="1"/>
  <c r="Q24" i="1"/>
  <c r="Q85" i="1" s="1"/>
  <c r="O94" i="1" l="1"/>
  <c r="Q87" i="1"/>
  <c r="Q89" i="1" s="1"/>
  <c r="P91" i="1"/>
  <c r="P94" i="1" s="1"/>
  <c r="R65" i="1"/>
  <c r="R86" i="1"/>
  <c r="R24" i="1"/>
  <c r="R85" i="1" s="1"/>
  <c r="P103" i="1" l="1"/>
  <c r="R87" i="1"/>
  <c r="R89" i="1" s="1"/>
  <c r="R91" i="1" s="1"/>
  <c r="Q91" i="1"/>
  <c r="Q94" i="1" s="1"/>
  <c r="Q103" i="1" l="1"/>
  <c r="R94" i="1"/>
  <c r="D97" i="1" s="1"/>
  <c r="R103" i="1"/>
</calcChain>
</file>

<file path=xl/sharedStrings.xml><?xml version="1.0" encoding="utf-8"?>
<sst xmlns="http://schemas.openxmlformats.org/spreadsheetml/2006/main" count="492" uniqueCount="176">
  <si>
    <t>NAME OF THE BIDDER:</t>
  </si>
  <si>
    <t>CONTRACT TERM:</t>
  </si>
  <si>
    <t>DELIVERY DATE:</t>
  </si>
  <si>
    <t>POWER PLANT NAME:</t>
  </si>
  <si>
    <t>POWER PLANT LOCATION:</t>
  </si>
  <si>
    <t>RENEWABLE? (Y/N):</t>
  </si>
  <si>
    <t>A. Effective Annual Rate</t>
  </si>
  <si>
    <t>RATE COMPONENT</t>
  </si>
  <si>
    <t>CRF (no escalation)</t>
  </si>
  <si>
    <t>Local Components</t>
  </si>
  <si>
    <t>Foreign Components</t>
  </si>
  <si>
    <t>Variable O&amp;M:</t>
  </si>
  <si>
    <t>FOREX, $</t>
  </si>
  <si>
    <t>Fuel Fee:</t>
  </si>
  <si>
    <t>LOT NO:</t>
  </si>
  <si>
    <t>Php/kWh</t>
  </si>
  <si>
    <t>USD/kWh</t>
  </si>
  <si>
    <t>Php/USD</t>
  </si>
  <si>
    <t>Php</t>
  </si>
  <si>
    <t>EQUIVALENT ADJUSTED ANNUAL ITEMIZED RATE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</si>
  <si>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</si>
  <si>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</si>
  <si>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</si>
  <si>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</si>
  <si>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</si>
  <si>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</si>
  <si>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</si>
  <si>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</si>
  <si>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</si>
  <si>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</si>
  <si>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</si>
  <si>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</si>
  <si>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</si>
  <si>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</si>
  <si>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</si>
  <si>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Fixed O&amp;M</t>
  </si>
  <si>
    <t>ANNUAL INCREMENTAL ADJUSTMENT</t>
  </si>
  <si>
    <t>ALLOWABLE MAXIMUM LIMIT</t>
  </si>
  <si>
    <t>EFFECTIVE RATE FOR THE YEAR</t>
  </si>
  <si>
    <t>Variable O&amp;M</t>
  </si>
  <si>
    <t>Fuel Fee</t>
  </si>
  <si>
    <t>Effective Rate for the Year:</t>
  </si>
  <si>
    <t>VAT, for non-renewable energy</t>
  </si>
  <si>
    <t>Total Effective Rate of the Year</t>
  </si>
  <si>
    <t>Annual Energy Purchase:</t>
  </si>
  <si>
    <t>Cost of Energy:</t>
  </si>
  <si>
    <t>Long Term Levelized Cost of Energy:</t>
  </si>
  <si>
    <t>Discount Offered:</t>
  </si>
  <si>
    <t>Please state conditions to avail discount:</t>
  </si>
  <si>
    <t>Effective Rate after discount is applied:</t>
  </si>
  <si>
    <t>Name and Signature of Authorized Representative</t>
  </si>
  <si>
    <t>Date</t>
  </si>
  <si>
    <t>For Manual Entry</t>
  </si>
  <si>
    <t>Locked Cells</t>
  </si>
  <si>
    <t>Automatically Computed (Locked Cells)</t>
  </si>
  <si>
    <t>ABC Power Development Corporation</t>
  </si>
  <si>
    <t>Iloilo City, Iloilo</t>
  </si>
  <si>
    <t>Y</t>
  </si>
  <si>
    <t>%</t>
  </si>
  <si>
    <t>B. Annual Escalation Factors</t>
  </si>
  <si>
    <t>Fixed O&amp;M (No Escalation)</t>
  </si>
  <si>
    <t>CRF (No Escalation)</t>
  </si>
  <si>
    <t>Actual Fuel Rate - NET</t>
  </si>
  <si>
    <t>Fuel Consumed</t>
  </si>
  <si>
    <t>Fuel Supplier 1:</t>
  </si>
  <si>
    <t>Fuel Supplier 2:</t>
  </si>
  <si>
    <t>Cost of Fuel</t>
  </si>
  <si>
    <t>Unit Cost/(MT or Li)</t>
  </si>
  <si>
    <t>kg/kWh or Li/kWh</t>
  </si>
  <si>
    <t>Fuel Supplier 3:</t>
  </si>
  <si>
    <t>Fuel Supplier 4:</t>
  </si>
  <si>
    <t>Fuel Supplier 5:</t>
  </si>
  <si>
    <t>TOTAL</t>
  </si>
  <si>
    <t>Transport Cost &amp; Others</t>
  </si>
  <si>
    <t>Fuel Cost</t>
  </si>
  <si>
    <r>
      <t>CRF and Fixed O&amp;M (</t>
    </r>
    <r>
      <rPr>
        <b/>
        <sz val="11"/>
        <color theme="1"/>
        <rFont val="Century Gothic"/>
        <family val="2"/>
      </rPr>
      <t>≤</t>
    </r>
    <r>
      <rPr>
        <b/>
        <sz val="11"/>
        <color theme="1"/>
        <rFont val="Arial"/>
        <family val="2"/>
      </rPr>
      <t xml:space="preserve"> 2.60)</t>
    </r>
  </si>
  <si>
    <t>N</t>
  </si>
  <si>
    <t>May 26, 2024</t>
  </si>
  <si>
    <t>Fuel Inflation</t>
  </si>
  <si>
    <t>Exhange Rate (April-May 2024)</t>
  </si>
  <si>
    <t>Php/$</t>
  </si>
  <si>
    <t>Foreign Components (April-May 2024)</t>
  </si>
  <si>
    <t>Local Components (April-May 2024)</t>
  </si>
  <si>
    <t>Column1</t>
  </si>
  <si>
    <t>VARIABLE OPERATION AND MAINTENANCE COMPONENTS</t>
  </si>
  <si>
    <t>Cost</t>
  </si>
  <si>
    <t>VOM Components</t>
  </si>
  <si>
    <t>January</t>
  </si>
  <si>
    <t>kWh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</si>
  <si>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</si>
  <si>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</si>
  <si>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</si>
  <si>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</si>
  <si>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</si>
  <si>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</si>
  <si>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</si>
  <si>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</si>
  <si>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</si>
  <si>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</si>
  <si>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</si>
  <si>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</si>
  <si>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Year</t>
  </si>
  <si>
    <t>TOTAL COST</t>
  </si>
  <si>
    <t>VOM Rate for the Month</t>
  </si>
  <si>
    <t>Average VOM Rate for the Year</t>
  </si>
  <si>
    <t>A. LOCAL COMPONENTS</t>
  </si>
  <si>
    <t>B. FOREIGN COMPONENTS</t>
  </si>
  <si>
    <t xml:space="preserve">      -    to be filled-up</t>
  </si>
  <si>
    <t>ABC COAL, INC.</t>
  </si>
  <si>
    <t>Prompt Payment Discount</t>
  </si>
  <si>
    <t>PLANT TYPE:</t>
  </si>
  <si>
    <t>TYPE OF FUEL:</t>
  </si>
  <si>
    <t>SCHEDULED</t>
  </si>
  <si>
    <t>UNSCHEDULED</t>
  </si>
  <si>
    <t>2024-2038</t>
  </si>
  <si>
    <t>PLANT YPE</t>
  </si>
  <si>
    <t>Coal (Pulverized)</t>
  </si>
  <si>
    <t>Coal (Circulating Fluidized Bed)</t>
  </si>
  <si>
    <t>Gas (Combined Cycle)</t>
  </si>
  <si>
    <t>Gas (Turbine)</t>
  </si>
  <si>
    <t>Diesel</t>
  </si>
  <si>
    <t>Oil Fired Thermal</t>
  </si>
  <si>
    <t>Geothermal</t>
  </si>
  <si>
    <t>Hydroelectric</t>
  </si>
  <si>
    <t>Biomass</t>
  </si>
  <si>
    <t>Type of Fuel</t>
  </si>
  <si>
    <t>Coal</t>
  </si>
  <si>
    <t>Oil</t>
  </si>
  <si>
    <t>NatGas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</si>
  <si>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</si>
  <si>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</si>
  <si>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</si>
  <si>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</si>
  <si>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</si>
  <si>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</si>
  <si>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</si>
  <si>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</si>
  <si>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</si>
  <si>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</si>
  <si>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</si>
  <si>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</si>
  <si>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</si>
  <si>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</si>
  <si>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</si>
  <si>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ANNUAL ALLOWED OUTAGES (HOURS)</t>
  </si>
  <si>
    <t>Renewable</t>
  </si>
  <si>
    <t>Name of the Bidder:</t>
  </si>
  <si>
    <t>Billing Period:</t>
  </si>
  <si>
    <t>Feb. 26, 2024-Mar.25, 2024</t>
  </si>
  <si>
    <t>Beginning Inventory</t>
  </si>
  <si>
    <t>Adjustment on Last Billing</t>
  </si>
  <si>
    <t>Deliveries</t>
  </si>
  <si>
    <t>Total Deliveries</t>
  </si>
  <si>
    <t>Consumption for the Month</t>
  </si>
  <si>
    <t>Ending Inventory</t>
  </si>
  <si>
    <t>Total Plant Net Generation</t>
  </si>
  <si>
    <t>Total Cost (Php)</t>
  </si>
  <si>
    <t>ERC-Approved Fuel Rate - Cap</t>
  </si>
  <si>
    <t>Fuel Cost (Php/kWh)</t>
  </si>
  <si>
    <t>Mar. 26, 2024-Apr.25, 2024</t>
  </si>
  <si>
    <t>Feb. 26, 2024-May.25, 2024</t>
  </si>
  <si>
    <t>Apr. 26, 2024-May.25, 2024</t>
  </si>
  <si>
    <t>Beginning Inventory:</t>
  </si>
  <si>
    <t>Remarks:</t>
  </si>
  <si>
    <t>MT / CuM</t>
  </si>
  <si>
    <t>Volume (MT/CuM)</t>
  </si>
  <si>
    <t>Actual Rate - NET (kg/kWh) or (Li/kWh)</t>
  </si>
  <si>
    <t>Unit Cost / MT
Unit Cost / CuM</t>
  </si>
  <si>
    <t>Fuel Consumed (MT/CuM)</t>
  </si>
  <si>
    <t>Fuel Cost (Php)</t>
  </si>
  <si>
    <t>Available for Consumption</t>
  </si>
  <si>
    <t>Total Plant Energy Generated</t>
  </si>
  <si>
    <t>Transport Cost and Other Charges (Php)</t>
  </si>
  <si>
    <t>Bid Security</t>
  </si>
  <si>
    <t>COMPETITIVE SELECTION PROCESS (CSP) FOR THE SUPPLY OF 18MW PEAKING OF NECA TO SUPPLY FOR 2024 TO 2039</t>
  </si>
  <si>
    <t>$/kWh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</si>
</sst>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_-* #,##0.0000_-;\-* #,##0.0000_-;_-* &quot;-&quot;??_-;_-@_-"/>
    <numFmt numFmtId="166" formatCode="_-* #,##0.00000_-;\-* #,##0.00000_-;_-* &quot;-&quot;??_-;_-@_-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Century Gothic"/>
      <family val="2"/>
    </font>
    <font>
      <sz val="11"/>
      <color theme="1"/>
      <name val="Century"/>
      <family val="1"/>
    </font>
    <font>
      <b/>
      <sz val="11"/>
      <color theme="1"/>
      <name val="Century"/>
      <family val="1"/>
    </font>
    <font>
      <b/>
      <sz val="12"/>
      <color theme="1"/>
      <name val="Century"/>
      <family val="1"/>
    </font>
    <font>
      <sz val="11"/>
      <color theme="1"/>
      <name val="Amasis MT Pro Medium"/>
      <family val="1"/>
    </font>
    <font>
      <sz val="11"/>
      <color theme="0"/>
      <name val="Arial"/>
      <family val="2"/>
    </font>
    <font>
      <sz val="11"/>
      <color theme="1"/>
      <name val="Aptos Display"/>
      <family val="2"/>
    </font>
    <font>
      <b/>
      <sz val="11"/>
      <color theme="1"/>
      <name val="Aptos Display"/>
      <family val="2"/>
    </font>
    <font>
      <sz val="11"/>
      <color theme="0"/>
      <name val="Aptos Display"/>
      <family val="2"/>
    </font>
    <font>
      <b/>
      <sz val="11"/>
      <color theme="0"/>
      <name val="Aptos Display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5" fontId="2" fillId="2" borderId="1" xfId="1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/>
    <xf numFmtId="0" fontId="4" fillId="0" borderId="8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7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4" fillId="0" borderId="25" xfId="0" applyFont="1" applyBorder="1"/>
    <xf numFmtId="165" fontId="2" fillId="2" borderId="9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43" fontId="2" fillId="2" borderId="7" xfId="1" applyFont="1" applyFill="1" applyBorder="1" applyAlignment="1">
      <alignment horizontal="center"/>
    </xf>
    <xf numFmtId="10" fontId="2" fillId="5" borderId="1" xfId="2" applyNumberFormat="1" applyFont="1" applyFill="1" applyBorder="1" applyAlignment="1">
      <alignment horizontal="center"/>
    </xf>
    <xf numFmtId="10" fontId="2" fillId="5" borderId="7" xfId="2" applyNumberFormat="1" applyFont="1" applyFill="1" applyBorder="1" applyAlignment="1">
      <alignment horizontal="center"/>
    </xf>
    <xf numFmtId="10" fontId="2" fillId="5" borderId="9" xfId="2" applyNumberFormat="1" applyFont="1" applyFill="1" applyBorder="1" applyAlignment="1">
      <alignment horizontal="center"/>
    </xf>
    <xf numFmtId="10" fontId="2" fillId="5" borderId="10" xfId="2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165" fontId="4" fillId="2" borderId="10" xfId="0" applyNumberFormat="1" applyFont="1" applyFill="1" applyBorder="1" applyAlignment="1">
      <alignment horizontal="center"/>
    </xf>
    <xf numFmtId="165" fontId="4" fillId="2" borderId="14" xfId="1" applyNumberFormat="1" applyFont="1" applyFill="1" applyBorder="1" applyAlignment="1">
      <alignment horizontal="center"/>
    </xf>
    <xf numFmtId="165" fontId="4" fillId="2" borderId="15" xfId="1" applyNumberFormat="1" applyFont="1" applyFill="1" applyBorder="1" applyAlignment="1">
      <alignment horizontal="center"/>
    </xf>
    <xf numFmtId="43" fontId="4" fillId="2" borderId="4" xfId="1" applyFont="1" applyFill="1" applyBorder="1" applyAlignment="1">
      <alignment horizontal="center"/>
    </xf>
    <xf numFmtId="43" fontId="4" fillId="2" borderId="9" xfId="1" applyFont="1" applyFill="1" applyBorder="1" applyAlignment="1">
      <alignment horizontal="center"/>
    </xf>
    <xf numFmtId="43" fontId="4" fillId="2" borderId="10" xfId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0" fontId="2" fillId="0" borderId="24" xfId="0" applyFont="1" applyBorder="1"/>
    <xf numFmtId="0" fontId="2" fillId="0" borderId="3" xfId="0" applyFont="1" applyBorder="1"/>
    <xf numFmtId="165" fontId="4" fillId="2" borderId="37" xfId="1" applyNumberFormat="1" applyFont="1" applyFill="1" applyBorder="1" applyAlignment="1">
      <alignment vertical="center"/>
    </xf>
    <xf numFmtId="165" fontId="4" fillId="2" borderId="38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165" fontId="4" fillId="2" borderId="4" xfId="1" applyNumberFormat="1" applyFont="1" applyFill="1" applyBorder="1" applyAlignment="1">
      <alignment vertical="center"/>
    </xf>
    <xf numFmtId="165" fontId="4" fillId="2" borderId="5" xfId="1" applyNumberFormat="1" applyFont="1" applyFill="1" applyBorder="1" applyAlignment="1">
      <alignment vertical="center"/>
    </xf>
    <xf numFmtId="164" fontId="2" fillId="5" borderId="4" xfId="0" applyNumberFormat="1" applyFont="1" applyFill="1" applyBorder="1" applyAlignment="1">
      <alignment horizontal="center"/>
    </xf>
    <xf numFmtId="164" fontId="2" fillId="5" borderId="5" xfId="0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left" indent="3"/>
    </xf>
    <xf numFmtId="0" fontId="2" fillId="0" borderId="23" xfId="0" applyFont="1" applyBorder="1" applyAlignment="1">
      <alignment horizontal="left" indent="3"/>
    </xf>
    <xf numFmtId="165" fontId="2" fillId="2" borderId="43" xfId="1" applyNumberFormat="1" applyFont="1" applyFill="1" applyBorder="1" applyAlignment="1">
      <alignment vertical="center"/>
    </xf>
    <xf numFmtId="165" fontId="2" fillId="2" borderId="4" xfId="1" applyNumberFormat="1" applyFont="1" applyFill="1" applyBorder="1" applyAlignment="1">
      <alignment vertical="center"/>
    </xf>
    <xf numFmtId="165" fontId="2" fillId="2" borderId="5" xfId="1" applyNumberFormat="1" applyFont="1" applyFill="1" applyBorder="1" applyAlignment="1">
      <alignment vertical="center"/>
    </xf>
    <xf numFmtId="165" fontId="2" fillId="2" borderId="44" xfId="1" applyNumberFormat="1" applyFont="1" applyFill="1" applyBorder="1" applyAlignment="1">
      <alignment vertical="center"/>
    </xf>
    <xf numFmtId="0" fontId="8" fillId="0" borderId="0" xfId="0" applyFont="1"/>
    <xf numFmtId="0" fontId="9" fillId="0" borderId="0" xfId="0" applyFont="1"/>
    <xf numFmtId="167" fontId="9" fillId="0" borderId="9" xfId="1" applyNumberFormat="1" applyFont="1" applyBorder="1"/>
    <xf numFmtId="167" fontId="9" fillId="0" borderId="10" xfId="1" applyNumberFormat="1" applyFont="1" applyBorder="1"/>
    <xf numFmtId="0" fontId="8" fillId="0" borderId="3" xfId="0" applyFont="1" applyBorder="1"/>
    <xf numFmtId="0" fontId="8" fillId="0" borderId="6" xfId="0" applyFont="1" applyBorder="1"/>
    <xf numFmtId="0" fontId="8" fillId="0" borderId="20" xfId="0" applyFont="1" applyBorder="1"/>
    <xf numFmtId="43" fontId="8" fillId="0" borderId="48" xfId="1" applyFont="1" applyBorder="1"/>
    <xf numFmtId="0" fontId="8" fillId="0" borderId="19" xfId="0" applyFont="1" applyBorder="1"/>
    <xf numFmtId="0" fontId="8" fillId="0" borderId="36" xfId="0" applyFont="1" applyBorder="1"/>
    <xf numFmtId="0" fontId="8" fillId="0" borderId="51" xfId="0" applyFont="1" applyBorder="1"/>
    <xf numFmtId="43" fontId="8" fillId="0" borderId="49" xfId="1" applyFont="1" applyBorder="1"/>
    <xf numFmtId="0" fontId="8" fillId="0" borderId="23" xfId="0" applyFont="1" applyBorder="1"/>
    <xf numFmtId="0" fontId="8" fillId="0" borderId="52" xfId="0" applyFont="1" applyBorder="1"/>
    <xf numFmtId="165" fontId="8" fillId="0" borderId="25" xfId="1" applyNumberFormat="1" applyFont="1" applyBorder="1"/>
    <xf numFmtId="165" fontId="8" fillId="0" borderId="4" xfId="1" applyNumberFormat="1" applyFont="1" applyBorder="1"/>
    <xf numFmtId="165" fontId="8" fillId="0" borderId="1" xfId="1" applyNumberFormat="1" applyFont="1" applyBorder="1"/>
    <xf numFmtId="165" fontId="8" fillId="0" borderId="5" xfId="1" applyNumberFormat="1" applyFont="1" applyBorder="1"/>
    <xf numFmtId="165" fontId="8" fillId="0" borderId="7" xfId="1" applyNumberFormat="1" applyFont="1" applyBorder="1"/>
    <xf numFmtId="165" fontId="8" fillId="0" borderId="9" xfId="1" applyNumberFormat="1" applyFont="1" applyBorder="1"/>
    <xf numFmtId="165" fontId="8" fillId="0" borderId="10" xfId="1" applyNumberFormat="1" applyFont="1" applyBorder="1"/>
    <xf numFmtId="165" fontId="8" fillId="0" borderId="30" xfId="1" applyNumberFormat="1" applyFont="1" applyBorder="1"/>
    <xf numFmtId="0" fontId="10" fillId="0" borderId="0" xfId="0" applyFont="1"/>
    <xf numFmtId="165" fontId="8" fillId="0" borderId="45" xfId="1" applyNumberFormat="1" applyFont="1" applyBorder="1"/>
    <xf numFmtId="165" fontId="8" fillId="0" borderId="46" xfId="1" applyNumberFormat="1" applyFont="1" applyBorder="1"/>
    <xf numFmtId="165" fontId="8" fillId="0" borderId="50" xfId="1" applyNumberFormat="1" applyFont="1" applyBorder="1"/>
    <xf numFmtId="165" fontId="8" fillId="0" borderId="52" xfId="1" applyNumberFormat="1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8" fillId="0" borderId="0" xfId="0" quotePrefix="1" applyFont="1"/>
    <xf numFmtId="165" fontId="2" fillId="2" borderId="1" xfId="1" applyNumberFormat="1" applyFont="1" applyFill="1" applyBorder="1" applyAlignment="1" applyProtection="1">
      <alignment horizontal="center"/>
    </xf>
    <xf numFmtId="165" fontId="2" fillId="2" borderId="7" xfId="1" applyNumberFormat="1" applyFont="1" applyFill="1" applyBorder="1" applyAlignment="1" applyProtection="1">
      <alignment horizontal="center"/>
    </xf>
    <xf numFmtId="165" fontId="4" fillId="2" borderId="1" xfId="1" applyNumberFormat="1" applyFont="1" applyFill="1" applyBorder="1" applyAlignment="1" applyProtection="1">
      <alignment horizontal="center"/>
    </xf>
    <xf numFmtId="165" fontId="4" fillId="2" borderId="7" xfId="1" applyNumberFormat="1" applyFont="1" applyFill="1" applyBorder="1" applyAlignment="1" applyProtection="1">
      <alignment horizontal="center"/>
    </xf>
    <xf numFmtId="43" fontId="2" fillId="2" borderId="9" xfId="1" applyFont="1" applyFill="1" applyBorder="1" applyAlignment="1" applyProtection="1">
      <alignment horizontal="center"/>
    </xf>
    <xf numFmtId="43" fontId="2" fillId="2" borderId="10" xfId="1" applyFont="1" applyFill="1" applyBorder="1" applyAlignment="1" applyProtection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0" fontId="11" fillId="0" borderId="1" xfId="2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10" fontId="11" fillId="0" borderId="56" xfId="2" applyNumberFormat="1" applyFont="1" applyBorder="1" applyAlignment="1">
      <alignment horizontal="center"/>
    </xf>
    <xf numFmtId="10" fontId="11" fillId="0" borderId="57" xfId="2" applyNumberFormat="1" applyFont="1" applyBorder="1" applyAlignment="1">
      <alignment horizontal="center"/>
    </xf>
    <xf numFmtId="10" fontId="11" fillId="0" borderId="58" xfId="2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6" fillId="7" borderId="1" xfId="0" applyFont="1" applyFill="1" applyBorder="1" applyAlignment="1">
      <alignment horizontal="center" vertical="center" wrapText="1"/>
    </xf>
    <xf numFmtId="43" fontId="13" fillId="2" borderId="1" xfId="1" applyFont="1" applyFill="1" applyBorder="1"/>
    <xf numFmtId="43" fontId="14" fillId="2" borderId="1" xfId="1" applyFont="1" applyFill="1" applyBorder="1"/>
    <xf numFmtId="0" fontId="14" fillId="3" borderId="1" xfId="0" applyFont="1" applyFill="1" applyBorder="1"/>
    <xf numFmtId="43" fontId="13" fillId="2" borderId="1" xfId="0" applyNumberFormat="1" applyFont="1" applyFill="1" applyBorder="1"/>
    <xf numFmtId="164" fontId="13" fillId="2" borderId="1" xfId="0" applyNumberFormat="1" applyFont="1" applyFill="1" applyBorder="1"/>
    <xf numFmtId="165" fontId="14" fillId="2" borderId="1" xfId="0" applyNumberFormat="1" applyFont="1" applyFill="1" applyBorder="1"/>
    <xf numFmtId="0" fontId="16" fillId="7" borderId="0" xfId="0" applyFont="1" applyFill="1" applyAlignment="1">
      <alignment horizontal="center" vertical="center" wrapText="1"/>
    </xf>
    <xf numFmtId="166" fontId="13" fillId="2" borderId="1" xfId="1" applyNumberFormat="1" applyFont="1" applyFill="1" applyBorder="1"/>
    <xf numFmtId="0" fontId="14" fillId="8" borderId="46" xfId="0" applyFont="1" applyFill="1" applyBorder="1"/>
    <xf numFmtId="0" fontId="13" fillId="8" borderId="56" xfId="0" applyFont="1" applyFill="1" applyBorder="1"/>
    <xf numFmtId="0" fontId="13" fillId="8" borderId="27" xfId="0" applyFont="1" applyFill="1" applyBorder="1"/>
    <xf numFmtId="0" fontId="9" fillId="0" borderId="0" xfId="0" quotePrefix="1" applyFont="1"/>
    <xf numFmtId="43" fontId="13" fillId="4" borderId="1" xfId="1" applyFont="1" applyFill="1" applyBorder="1" applyProtection="1">
      <protection locked="0"/>
    </xf>
    <xf numFmtId="43" fontId="14" fillId="4" borderId="1" xfId="1" applyFont="1" applyFill="1" applyBorder="1" applyProtection="1">
      <protection locked="0"/>
    </xf>
    <xf numFmtId="0" fontId="9" fillId="4" borderId="0" xfId="0" applyFont="1" applyFill="1"/>
    <xf numFmtId="0" fontId="8" fillId="4" borderId="0" xfId="0" applyFont="1" applyFill="1"/>
    <xf numFmtId="0" fontId="8" fillId="4" borderId="5" xfId="0" applyFont="1" applyFill="1" applyBorder="1" applyProtection="1">
      <protection locked="0"/>
    </xf>
    <xf numFmtId="43" fontId="8" fillId="4" borderId="3" xfId="1" applyFont="1" applyFill="1" applyBorder="1" applyProtection="1">
      <protection locked="0"/>
    </xf>
    <xf numFmtId="0" fontId="8" fillId="4" borderId="7" xfId="0" applyFont="1" applyFill="1" applyBorder="1" applyProtection="1">
      <protection locked="0"/>
    </xf>
    <xf numFmtId="43" fontId="8" fillId="4" borderId="6" xfId="1" applyFont="1" applyFill="1" applyBorder="1" applyProtection="1">
      <protection locked="0"/>
    </xf>
    <xf numFmtId="0" fontId="8" fillId="4" borderId="42" xfId="0" applyFont="1" applyFill="1" applyBorder="1" applyProtection="1">
      <protection locked="0"/>
    </xf>
    <xf numFmtId="43" fontId="8" fillId="4" borderId="8" xfId="1" applyFont="1" applyFill="1" applyBorder="1" applyProtection="1">
      <protection locked="0"/>
    </xf>
    <xf numFmtId="43" fontId="8" fillId="4" borderId="24" xfId="1" applyFont="1" applyFill="1" applyBorder="1" applyProtection="1">
      <protection locked="0"/>
    </xf>
    <xf numFmtId="43" fontId="8" fillId="4" borderId="1" xfId="1" applyFont="1" applyFill="1" applyBorder="1" applyProtection="1">
      <protection locked="0"/>
    </xf>
    <xf numFmtId="43" fontId="8" fillId="4" borderId="9" xfId="1" applyFont="1" applyFill="1" applyBorder="1" applyProtection="1">
      <protection locked="0"/>
    </xf>
    <xf numFmtId="164" fontId="14" fillId="4" borderId="1" xfId="0" applyNumberFormat="1" applyFont="1" applyFill="1" applyBorder="1" applyProtection="1">
      <protection locked="0"/>
    </xf>
    <xf numFmtId="0" fontId="15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64" fontId="2" fillId="4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/>
    <xf numFmtId="0" fontId="4" fillId="0" borderId="24" xfId="0" applyFont="1" applyBorder="1"/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43" fontId="8" fillId="4" borderId="26" xfId="1" applyFont="1" applyFill="1" applyBorder="1" applyProtection="1">
      <protection locked="0"/>
    </xf>
    <xf numFmtId="165" fontId="8" fillId="0" borderId="12" xfId="1" applyNumberFormat="1" applyFont="1" applyBorder="1"/>
    <xf numFmtId="165" fontId="8" fillId="0" borderId="61" xfId="1" applyNumberFormat="1" applyFont="1" applyBorder="1"/>
    <xf numFmtId="43" fontId="8" fillId="4" borderId="11" xfId="1" applyFont="1" applyFill="1" applyBorder="1" applyProtection="1">
      <protection locked="0"/>
    </xf>
    <xf numFmtId="165" fontId="8" fillId="0" borderId="62" xfId="1" applyNumberFormat="1" applyFont="1" applyBorder="1"/>
    <xf numFmtId="43" fontId="8" fillId="4" borderId="4" xfId="1" applyFont="1" applyFill="1" applyBorder="1" applyProtection="1">
      <protection locked="0"/>
    </xf>
    <xf numFmtId="43" fontId="8" fillId="0" borderId="19" xfId="1" applyFont="1" applyBorder="1"/>
    <xf numFmtId="0" fontId="8" fillId="0" borderId="50" xfId="0" applyFont="1" applyBorder="1"/>
    <xf numFmtId="0" fontId="9" fillId="0" borderId="64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167" fontId="9" fillId="4" borderId="8" xfId="1" applyNumberFormat="1" applyFont="1" applyFill="1" applyBorder="1" applyProtection="1">
      <protection locked="0"/>
    </xf>
    <xf numFmtId="167" fontId="9" fillId="4" borderId="9" xfId="1" applyNumberFormat="1" applyFont="1" applyFill="1" applyBorder="1" applyProtection="1">
      <protection locked="0"/>
    </xf>
    <xf numFmtId="0" fontId="2" fillId="0" borderId="26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43" fontId="2" fillId="2" borderId="4" xfId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64" fontId="4" fillId="2" borderId="37" xfId="1" applyNumberFormat="1" applyFont="1" applyFill="1" applyBorder="1" applyAlignment="1">
      <alignment horizontal="center"/>
    </xf>
    <xf numFmtId="164" fontId="4" fillId="2" borderId="38" xfId="1" applyNumberFormat="1" applyFont="1" applyFill="1" applyBorder="1" applyAlignment="1">
      <alignment horizontal="center"/>
    </xf>
    <xf numFmtId="166" fontId="2" fillId="2" borderId="9" xfId="1" applyNumberFormat="1" applyFont="1" applyFill="1" applyBorder="1" applyAlignment="1">
      <alignment horizontal="center"/>
    </xf>
    <xf numFmtId="166" fontId="2" fillId="2" borderId="10" xfId="1" applyNumberFormat="1" applyFont="1" applyFill="1" applyBorder="1" applyAlignment="1">
      <alignment horizontal="center"/>
    </xf>
    <xf numFmtId="165" fontId="4" fillId="4" borderId="24" xfId="1" applyNumberFormat="1" applyFont="1" applyFill="1" applyBorder="1" applyAlignment="1" applyProtection="1">
      <alignment vertical="center"/>
      <protection locked="0"/>
    </xf>
    <xf numFmtId="165" fontId="4" fillId="4" borderId="65" xfId="1" applyNumberFormat="1" applyFont="1" applyFill="1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2" fillId="2" borderId="27" xfId="1" applyNumberFormat="1" applyFont="1" applyFill="1" applyBorder="1" applyAlignment="1" applyProtection="1">
      <alignment horizontal="center"/>
    </xf>
    <xf numFmtId="165" fontId="4" fillId="2" borderId="27" xfId="1" applyNumberFormat="1" applyFont="1" applyFill="1" applyBorder="1" applyAlignment="1" applyProtection="1">
      <alignment horizontal="center"/>
    </xf>
    <xf numFmtId="43" fontId="2" fillId="3" borderId="25" xfId="1" applyFont="1" applyFill="1" applyBorder="1" applyAlignment="1" applyProtection="1">
      <alignment horizontal="center"/>
    </xf>
    <xf numFmtId="0" fontId="2" fillId="0" borderId="7" xfId="0" applyFont="1" applyBorder="1" applyAlignment="1">
      <alignment horizontal="center"/>
    </xf>
    <xf numFmtId="43" fontId="2" fillId="2" borderId="24" xfId="1" applyFont="1" applyFill="1" applyBorder="1" applyAlignment="1" applyProtection="1">
      <alignment horizontal="center"/>
    </xf>
    <xf numFmtId="43" fontId="2" fillId="2" borderId="27" xfId="1" applyFont="1" applyFill="1" applyBorder="1" applyAlignment="1" applyProtection="1">
      <alignment horizontal="center"/>
    </xf>
    <xf numFmtId="165" fontId="2" fillId="2" borderId="25" xfId="1" applyNumberFormat="1" applyFont="1" applyFill="1" applyBorder="1" applyAlignment="1" applyProtection="1">
      <alignment horizontal="center"/>
    </xf>
    <xf numFmtId="166" fontId="2" fillId="2" borderId="25" xfId="1" applyNumberFormat="1" applyFont="1" applyFill="1" applyBorder="1" applyAlignment="1" applyProtection="1">
      <alignment horizontal="center"/>
    </xf>
    <xf numFmtId="43" fontId="2" fillId="2" borderId="24" xfId="1" applyFont="1" applyFill="1" applyBorder="1" applyAlignment="1">
      <alignment horizontal="center"/>
    </xf>
    <xf numFmtId="43" fontId="2" fillId="2" borderId="27" xfId="1" applyFont="1" applyFill="1" applyBorder="1" applyAlignment="1">
      <alignment horizontal="center"/>
    </xf>
    <xf numFmtId="166" fontId="2" fillId="2" borderId="25" xfId="1" applyNumberFormat="1" applyFont="1" applyFill="1" applyBorder="1" applyAlignment="1">
      <alignment horizontal="center"/>
    </xf>
    <xf numFmtId="164" fontId="4" fillId="2" borderId="65" xfId="1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164" fontId="2" fillId="5" borderId="24" xfId="0" applyNumberFormat="1" applyFont="1" applyFill="1" applyBorder="1" applyAlignment="1">
      <alignment horizontal="center"/>
    </xf>
    <xf numFmtId="10" fontId="2" fillId="5" borderId="27" xfId="2" applyNumberFormat="1" applyFont="1" applyFill="1" applyBorder="1" applyAlignment="1">
      <alignment horizontal="center"/>
    </xf>
    <xf numFmtId="10" fontId="2" fillId="5" borderId="25" xfId="2" applyNumberFormat="1" applyFont="1" applyFill="1" applyBorder="1" applyAlignment="1">
      <alignment horizontal="center"/>
    </xf>
    <xf numFmtId="0" fontId="2" fillId="0" borderId="20" xfId="0" applyFont="1" applyBorder="1"/>
    <xf numFmtId="0" fontId="2" fillId="0" borderId="28" xfId="0" applyFont="1" applyBorder="1"/>
    <xf numFmtId="0" fontId="2" fillId="0" borderId="42" xfId="0" applyFont="1" applyBorder="1" applyAlignment="1">
      <alignment horizontal="center"/>
    </xf>
    <xf numFmtId="164" fontId="2" fillId="5" borderId="28" xfId="0" applyNumberFormat="1" applyFont="1" applyFill="1" applyBorder="1" applyAlignment="1">
      <alignment horizontal="center"/>
    </xf>
    <xf numFmtId="164" fontId="2" fillId="5" borderId="41" xfId="0" applyNumberFormat="1" applyFont="1" applyFill="1" applyBorder="1" applyAlignment="1">
      <alignment horizontal="center"/>
    </xf>
    <xf numFmtId="164" fontId="2" fillId="5" borderId="42" xfId="0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left" indent="3"/>
    </xf>
    <xf numFmtId="0" fontId="2" fillId="0" borderId="62" xfId="0" applyFont="1" applyBorder="1" applyAlignment="1">
      <alignment horizontal="center"/>
    </xf>
    <xf numFmtId="10" fontId="2" fillId="5" borderId="26" xfId="2" applyNumberFormat="1" applyFont="1" applyFill="1" applyBorder="1" applyAlignment="1">
      <alignment horizontal="center"/>
    </xf>
    <xf numFmtId="10" fontId="2" fillId="5" borderId="12" xfId="2" applyNumberFormat="1" applyFont="1" applyFill="1" applyBorder="1" applyAlignment="1">
      <alignment horizontal="center"/>
    </xf>
    <xf numFmtId="10" fontId="2" fillId="5" borderId="62" xfId="2" applyNumberFormat="1" applyFont="1" applyFill="1" applyBorder="1" applyAlignment="1">
      <alignment horizontal="center"/>
    </xf>
    <xf numFmtId="165" fontId="2" fillId="2" borderId="24" xfId="1" applyNumberFormat="1" applyFont="1" applyFill="1" applyBorder="1" applyAlignment="1">
      <alignment vertical="center"/>
    </xf>
    <xf numFmtId="165" fontId="2" fillId="2" borderId="59" xfId="1" applyNumberFormat="1" applyFont="1" applyFill="1" applyBorder="1" applyAlignment="1">
      <alignment vertical="center"/>
    </xf>
    <xf numFmtId="165" fontId="2" fillId="2" borderId="27" xfId="1" applyNumberFormat="1" applyFont="1" applyFill="1" applyBorder="1" applyAlignment="1">
      <alignment horizontal="center"/>
    </xf>
    <xf numFmtId="165" fontId="4" fillId="2" borderId="25" xfId="0" applyNumberFormat="1" applyFont="1" applyFill="1" applyBorder="1" applyAlignment="1">
      <alignment horizontal="center"/>
    </xf>
    <xf numFmtId="165" fontId="4" fillId="2" borderId="29" xfId="1" applyNumberFormat="1" applyFont="1" applyFill="1" applyBorder="1" applyAlignment="1">
      <alignment horizontal="center"/>
    </xf>
    <xf numFmtId="43" fontId="4" fillId="2" borderId="24" xfId="1" applyFont="1" applyFill="1" applyBorder="1" applyAlignment="1">
      <alignment horizontal="center"/>
    </xf>
    <xf numFmtId="43" fontId="4" fillId="2" borderId="25" xfId="1" applyFont="1" applyFill="1" applyBorder="1" applyAlignment="1">
      <alignment horizontal="center"/>
    </xf>
    <xf numFmtId="165" fontId="5" fillId="2" borderId="55" xfId="1" applyNumberFormat="1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/>
    </xf>
    <xf numFmtId="165" fontId="4" fillId="2" borderId="4" xfId="1" applyNumberFormat="1" applyFont="1" applyFill="1" applyBorder="1" applyAlignment="1">
      <alignment horizontal="center"/>
    </xf>
    <xf numFmtId="165" fontId="4" fillId="2" borderId="5" xfId="1" applyNumberFormat="1" applyFont="1" applyFill="1" applyBorder="1" applyAlignment="1">
      <alignment horizontal="center"/>
    </xf>
    <xf numFmtId="165" fontId="2" fillId="2" borderId="26" xfId="1" applyNumberFormat="1" applyFont="1" applyFill="1" applyBorder="1" applyAlignment="1" applyProtection="1">
      <alignment horizontal="center"/>
    </xf>
    <xf numFmtId="165" fontId="2" fillId="2" borderId="12" xfId="1" applyNumberFormat="1" applyFont="1" applyFill="1" applyBorder="1" applyAlignment="1" applyProtection="1">
      <alignment horizontal="center"/>
    </xf>
    <xf numFmtId="165" fontId="2" fillId="2" borderId="62" xfId="1" applyNumberFormat="1" applyFont="1" applyFill="1" applyBorder="1" applyAlignment="1" applyProtection="1">
      <alignment horizontal="center"/>
    </xf>
    <xf numFmtId="0" fontId="2" fillId="9" borderId="66" xfId="0" applyFont="1" applyFill="1" applyBorder="1" applyAlignment="1">
      <alignment horizontal="center"/>
    </xf>
    <xf numFmtId="43" fontId="4" fillId="2" borderId="66" xfId="0" applyNumberFormat="1" applyFont="1" applyFill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33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4" fillId="4" borderId="6" xfId="0" applyFont="1" applyFill="1" applyBorder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4" borderId="7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0" borderId="23" xfId="0" applyFont="1" applyBorder="1"/>
    <xf numFmtId="0" fontId="4" fillId="0" borderId="30" xfId="0" applyFont="1" applyBorder="1"/>
    <xf numFmtId="0" fontId="4" fillId="0" borderId="22" xfId="0" applyFont="1" applyBorder="1"/>
    <xf numFmtId="0" fontId="4" fillId="0" borderId="31" xfId="0" applyFont="1" applyBorder="1"/>
    <xf numFmtId="0" fontId="4" fillId="4" borderId="22" xfId="0" applyFont="1" applyFill="1" applyBorder="1" applyAlignment="1" applyProtection="1">
      <alignment horizontal="left"/>
      <protection locked="0"/>
    </xf>
    <xf numFmtId="0" fontId="4" fillId="4" borderId="56" xfId="0" applyFont="1" applyFill="1" applyBorder="1" applyAlignment="1" applyProtection="1">
      <alignment horizontal="left"/>
      <protection locked="0"/>
    </xf>
    <xf numFmtId="0" fontId="4" fillId="4" borderId="31" xfId="0" applyFont="1" applyFill="1" applyBorder="1" applyAlignment="1" applyProtection="1">
      <alignment horizontal="left"/>
      <protection locked="0"/>
    </xf>
    <xf numFmtId="0" fontId="4" fillId="2" borderId="22" xfId="0" applyFont="1" applyFill="1" applyBorder="1" applyAlignment="1">
      <alignment horizontal="left"/>
    </xf>
    <xf numFmtId="0" fontId="4" fillId="2" borderId="56" xfId="0" applyFont="1" applyFill="1" applyBorder="1" applyAlignment="1">
      <alignment horizontal="left"/>
    </xf>
    <xf numFmtId="0" fontId="4" fillId="2" borderId="31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center"/>
      <protection locked="0"/>
    </xf>
    <xf numFmtId="0" fontId="4" fillId="3" borderId="23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3" borderId="67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3" borderId="55" xfId="0" applyFont="1" applyFill="1" applyBorder="1" applyAlignment="1">
      <alignment horizontal="center"/>
    </xf>
    <xf numFmtId="0" fontId="4" fillId="0" borderId="13" xfId="0" applyFont="1" applyBorder="1"/>
    <xf numFmtId="0" fontId="4" fillId="0" borderId="29" xfId="0" applyFont="1" applyBorder="1"/>
    <xf numFmtId="0" fontId="4" fillId="0" borderId="15" xfId="0" applyFont="1" applyBorder="1"/>
    <xf numFmtId="0" fontId="4" fillId="0" borderId="3" xfId="0" applyFont="1" applyBorder="1"/>
    <xf numFmtId="0" fontId="4" fillId="0" borderId="24" xfId="0" applyFont="1" applyBorder="1"/>
    <xf numFmtId="0" fontId="4" fillId="0" borderId="4" xfId="0" applyFont="1" applyBorder="1"/>
    <xf numFmtId="0" fontId="2" fillId="0" borderId="4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4" borderId="3" xfId="0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0" fontId="4" fillId="0" borderId="21" xfId="0" applyFont="1" applyBorder="1"/>
    <xf numFmtId="0" fontId="4" fillId="0" borderId="32" xfId="0" applyFont="1" applyBorder="1"/>
    <xf numFmtId="0" fontId="5" fillId="6" borderId="39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25" xfId="0" applyFont="1" applyBorder="1"/>
    <xf numFmtId="0" fontId="4" fillId="0" borderId="10" xfId="0" applyFont="1" applyBorder="1"/>
    <xf numFmtId="0" fontId="2" fillId="4" borderId="13" xfId="0" applyFont="1" applyFill="1" applyBorder="1" applyAlignment="1" applyProtection="1">
      <alignment horizontal="left" vertical="center" wrapText="1"/>
      <protection locked="0"/>
    </xf>
    <xf numFmtId="0" fontId="2" fillId="4" borderId="14" xfId="0" applyFont="1" applyFill="1" applyBorder="1" applyAlignment="1" applyProtection="1">
      <alignment horizontal="left" vertical="center" wrapText="1"/>
      <protection locked="0"/>
    </xf>
    <xf numFmtId="0" fontId="2" fillId="4" borderId="15" xfId="0" applyFont="1" applyFill="1" applyBorder="1" applyAlignment="1" applyProtection="1">
      <alignment horizontal="left" vertical="center" wrapText="1"/>
      <protection locked="0"/>
    </xf>
    <xf numFmtId="0" fontId="2" fillId="4" borderId="40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2" fillId="0" borderId="33" xfId="0" applyFont="1" applyBorder="1"/>
    <xf numFmtId="0" fontId="2" fillId="0" borderId="28" xfId="0" applyFont="1" applyBorder="1"/>
    <xf numFmtId="0" fontId="2" fillId="0" borderId="21" xfId="0" applyFont="1" applyBorder="1"/>
    <xf numFmtId="0" fontId="2" fillId="0" borderId="24" xfId="0" applyFont="1" applyBorder="1"/>
    <xf numFmtId="0" fontId="4" fillId="0" borderId="2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3" xfId="0" applyFont="1" applyBorder="1"/>
    <xf numFmtId="0" fontId="2" fillId="0" borderId="29" xfId="0" applyFont="1" applyBorder="1"/>
    <xf numFmtId="0" fontId="2" fillId="0" borderId="14" xfId="0" applyFont="1" applyBorder="1"/>
    <xf numFmtId="0" fontId="2" fillId="0" borderId="15" xfId="0" applyFont="1" applyBorder="1"/>
    <xf numFmtId="0" fontId="4" fillId="0" borderId="14" xfId="0" applyFont="1" applyBorder="1"/>
    <xf numFmtId="0" fontId="4" fillId="0" borderId="2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3" xfId="0" applyFont="1" applyBorder="1"/>
    <xf numFmtId="0" fontId="9" fillId="0" borderId="45" xfId="0" applyFont="1" applyBorder="1"/>
    <xf numFmtId="0" fontId="9" fillId="0" borderId="6" xfId="0" applyFont="1" applyBorder="1"/>
    <xf numFmtId="0" fontId="9" fillId="0" borderId="46" xfId="0" applyFont="1" applyBorder="1"/>
    <xf numFmtId="0" fontId="9" fillId="0" borderId="20" xfId="0" applyFont="1" applyBorder="1"/>
    <xf numFmtId="0" fontId="9" fillId="0" borderId="47" xfId="0" applyFont="1" applyBorder="1"/>
    <xf numFmtId="0" fontId="9" fillId="0" borderId="7" xfId="0" applyFont="1" applyBorder="1"/>
    <xf numFmtId="0" fontId="9" fillId="0" borderId="49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165" fontId="8" fillId="0" borderId="39" xfId="1" applyNumberFormat="1" applyFont="1" applyBorder="1" applyAlignment="1">
      <alignment horizontal="center"/>
    </xf>
    <xf numFmtId="165" fontId="8" fillId="0" borderId="55" xfId="1" applyNumberFormat="1" applyFont="1" applyBorder="1" applyAlignment="1">
      <alignment horizontal="center"/>
    </xf>
    <xf numFmtId="0" fontId="9" fillId="0" borderId="5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46" xfId="0" applyFont="1" applyBorder="1"/>
    <xf numFmtId="0" fontId="14" fillId="0" borderId="56" xfId="0" applyFont="1" applyBorder="1"/>
    <xf numFmtId="0" fontId="14" fillId="0" borderId="27" xfId="0" applyFont="1" applyBorder="1"/>
    <xf numFmtId="43" fontId="13" fillId="4" borderId="46" xfId="1" applyFont="1" applyFill="1" applyBorder="1" applyAlignment="1" applyProtection="1">
      <alignment horizontal="center"/>
      <protection locked="0"/>
    </xf>
    <xf numFmtId="43" fontId="13" fillId="4" borderId="27" xfId="1" applyFont="1" applyFill="1" applyBorder="1" applyAlignment="1" applyProtection="1">
      <alignment horizontal="center"/>
      <protection locked="0"/>
    </xf>
    <xf numFmtId="43" fontId="13" fillId="2" borderId="46" xfId="1" applyFont="1" applyFill="1" applyBorder="1" applyAlignment="1">
      <alignment horizontal="center"/>
    </xf>
    <xf numFmtId="43" fontId="13" fillId="2" borderId="27" xfId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1"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masis MT Pro Medium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E15689-9493-4ACD-8BBF-CCC9402A3C49}" name="Table1" displayName="Table1" ref="A3:A5" totalsRowShown="0" headerRowDxfId="30" dataDxfId="29">
  <autoFilter ref="A3:A5" xr:uid="{9DE15689-9493-4ACD-8BBF-CCC9402A3C49}"/>
  <tableColumns count="1">
    <tableColumn id="1" xr3:uid="{CD4D1D22-833A-47CE-98E2-E40D098279C1}" name="Column1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1CCB65-9F2A-4564-B26C-ADE6BD43963D}" name="Table2" displayName="Table2" ref="A9:A18" totalsRowShown="0" headerRowDxfId="27" dataDxfId="26">
  <autoFilter ref="A9:A18" xr:uid="{101CCB65-9F2A-4564-B26C-ADE6BD43963D}"/>
  <tableColumns count="1">
    <tableColumn id="1" xr3:uid="{EC58A81C-A6B1-4AB5-A410-08B6CE6C9E6A}" name="PLANT YPE" dataDxfId="2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30EE3DB-2B71-4AAB-B3FE-AF06F25F0999}" name="Table4" displayName="Table4" ref="B41:Q45" totalsRowShown="0" headerRowDxfId="24" dataDxfId="22" headerRowBorderDxfId="23" tableBorderDxfId="21" totalsRowBorderDxfId="20">
  <autoFilter ref="B41:Q45" xr:uid="{930EE3DB-2B71-4AAB-B3FE-AF06F25F0999}"/>
  <tableColumns count="16">
    <tableColumn id="1" xr3:uid="{B86AD6F1-BCAC-44F0-8C7B-38D730AC901E}" name="Column1" dataDxfId="19"/>
    <tableColumn id="2" xr3:uid="{274F443C-5057-4C06-B9EE-7B25B541B1D5}" name="Column2" dataDxfId="18"/>
    <tableColumn id="3" xr3:uid="{E4E0FE60-9678-4CB7-A262-B516AE7DE2E1}" name="Column3" dataDxfId="17"/>
    <tableColumn id="4" xr3:uid="{9653C751-BDEE-4998-ACA8-08EEBE494898}" name="Column4" dataDxfId="16"/>
    <tableColumn id="5" xr3:uid="{4775B5B3-6208-4C07-A86B-E5FE0A3D8D60}" name="Column5" dataDxfId="15"/>
    <tableColumn id="6" xr3:uid="{10466EA9-BC7B-4757-8889-B8EA59B879A5}" name="Column6" dataDxfId="14"/>
    <tableColumn id="7" xr3:uid="{69A04BAC-EE8F-4810-8DEF-7665227B05C9}" name="Column7" dataDxfId="13"/>
    <tableColumn id="8" xr3:uid="{47ACB2CF-85E0-4C36-B0EA-A8E1CFB3E990}" name="Column8" dataDxfId="12"/>
    <tableColumn id="9" xr3:uid="{41710CE0-DCEC-4843-8E56-9A1E849EDD11}" name="Column9" dataDxfId="11"/>
    <tableColumn id="10" xr3:uid="{1F2AE95A-850F-4440-85D8-A71D98FD6FDA}" name="Column10" dataDxfId="10"/>
    <tableColumn id="11" xr3:uid="{F630637F-FE9E-4E44-BFC9-391D7F662455}" name="Column11" dataDxfId="9"/>
    <tableColumn id="12" xr3:uid="{005CEC07-BCD0-497F-9F96-09EE286043DE}" name="Column12" dataDxfId="8"/>
    <tableColumn id="13" xr3:uid="{097C97BA-0F3F-4E1A-81BA-25824C2E2A8B}" name="Column13" dataDxfId="7"/>
    <tableColumn id="14" xr3:uid="{49F6989D-CA35-43A1-9045-C47DCF0D0C56}" name="Column14" dataDxfId="6"/>
    <tableColumn id="15" xr3:uid="{F899BF09-E0DB-44A6-9A76-B913315C8907}" name="Column15" dataDxfId="5"/>
    <tableColumn id="16" xr3:uid="{1E6CAC5A-FFDA-4377-B9D5-97DE26C0F638}" name="Column16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B7724-8CF8-4F76-950C-ED6744A76965}">
  <dimension ref="A1:S111"/>
  <sheetViews>
    <sheetView showGridLines="0" tabSelected="1" zoomScaleNormal="100" workbookViewId="0">
      <selection activeCell="E15" sqref="E15"/>
    </sheetView>
  </sheetViews>
  <sheetFormatPr defaultRowHeight="13.8" x14ac:dyDescent="0.25"/>
  <cols>
    <col min="1" max="1" width="18.33203125" style="1" customWidth="1"/>
    <col min="2" max="2" width="24.109375" style="1" customWidth="1"/>
    <col min="3" max="3" width="17.6640625" style="2" customWidth="1"/>
    <col min="4" max="18" width="19.21875" style="2" customWidth="1"/>
    <col min="19" max="19" width="20.21875" style="2" customWidth="1"/>
    <col min="20" max="16384" width="8.88671875" style="1"/>
  </cols>
  <sheetData>
    <row r="1" spans="1:19" ht="22.8" x14ac:dyDescent="0.4">
      <c r="A1" s="290" t="s">
        <v>174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4.4" thickBot="1" x14ac:dyDescent="0.3"/>
    <row r="3" spans="1:19" ht="14.4" customHeight="1" x14ac:dyDescent="0.25">
      <c r="A3" s="294" t="s">
        <v>0</v>
      </c>
      <c r="B3" s="295"/>
      <c r="C3" s="291" t="s">
        <v>108</v>
      </c>
      <c r="D3" s="292"/>
      <c r="E3" s="292"/>
      <c r="F3" s="292"/>
      <c r="G3" s="292"/>
      <c r="H3" s="293"/>
    </row>
    <row r="4" spans="1:19" x14ac:dyDescent="0.25">
      <c r="A4" s="256" t="s">
        <v>1</v>
      </c>
      <c r="B4" s="257"/>
      <c r="C4" s="245">
        <v>15</v>
      </c>
      <c r="D4" s="246"/>
      <c r="E4" s="246"/>
      <c r="F4" s="246"/>
      <c r="G4" s="246"/>
      <c r="H4" s="247"/>
      <c r="J4" s="25"/>
      <c r="K4" s="1" t="s">
        <v>52</v>
      </c>
      <c r="N4" s="3" t="s">
        <v>79</v>
      </c>
      <c r="O4" s="4"/>
      <c r="P4" s="4">
        <v>57.36</v>
      </c>
      <c r="Q4" s="3" t="s">
        <v>80</v>
      </c>
    </row>
    <row r="5" spans="1:19" x14ac:dyDescent="0.25">
      <c r="A5" s="256" t="s">
        <v>2</v>
      </c>
      <c r="B5" s="257"/>
      <c r="C5" s="245" t="s">
        <v>77</v>
      </c>
      <c r="D5" s="246"/>
      <c r="E5" s="246"/>
      <c r="F5" s="246"/>
      <c r="G5" s="246"/>
      <c r="H5" s="247"/>
      <c r="K5" s="1"/>
      <c r="N5" s="93" t="s">
        <v>81</v>
      </c>
      <c r="O5" s="4"/>
      <c r="P5" s="94">
        <v>3.3000000000000002E-2</v>
      </c>
      <c r="Q5" s="4"/>
    </row>
    <row r="6" spans="1:19" x14ac:dyDescent="0.25">
      <c r="A6" s="256" t="s">
        <v>3</v>
      </c>
      <c r="B6" s="257"/>
      <c r="C6" s="245" t="s">
        <v>55</v>
      </c>
      <c r="D6" s="246"/>
      <c r="E6" s="246"/>
      <c r="F6" s="246"/>
      <c r="G6" s="246"/>
      <c r="H6" s="247"/>
      <c r="J6" s="26"/>
      <c r="K6" s="1" t="s">
        <v>54</v>
      </c>
      <c r="N6" s="3" t="s">
        <v>82</v>
      </c>
      <c r="O6" s="4"/>
      <c r="P6" s="94">
        <v>3.7999999999999999E-2</v>
      </c>
      <c r="Q6" s="4"/>
    </row>
    <row r="7" spans="1:19" x14ac:dyDescent="0.25">
      <c r="A7" s="256" t="s">
        <v>4</v>
      </c>
      <c r="B7" s="257"/>
      <c r="C7" s="245" t="s">
        <v>56</v>
      </c>
      <c r="D7" s="246"/>
      <c r="E7" s="246"/>
      <c r="F7" s="246"/>
      <c r="G7" s="246"/>
      <c r="H7" s="247"/>
      <c r="K7" s="1"/>
    </row>
    <row r="8" spans="1:19" x14ac:dyDescent="0.25">
      <c r="A8" s="256" t="s">
        <v>5</v>
      </c>
      <c r="B8" s="257"/>
      <c r="C8" s="248" t="str">
        <f>VLOOKUP(C9,Sheet1!A10:E18,5)</f>
        <v>N</v>
      </c>
      <c r="D8" s="249"/>
      <c r="E8" s="249"/>
      <c r="F8" s="249"/>
      <c r="G8" s="249"/>
      <c r="H8" s="250"/>
      <c r="J8" s="27"/>
      <c r="K8" s="1" t="s">
        <v>53</v>
      </c>
    </row>
    <row r="9" spans="1:19" x14ac:dyDescent="0.25">
      <c r="A9" s="256" t="s">
        <v>110</v>
      </c>
      <c r="B9" s="257"/>
      <c r="C9" s="258" t="s">
        <v>120</v>
      </c>
      <c r="D9" s="259"/>
      <c r="E9" s="259"/>
      <c r="F9" s="259"/>
      <c r="G9" s="259"/>
      <c r="H9" s="260"/>
      <c r="K9" s="1"/>
    </row>
    <row r="10" spans="1:19" x14ac:dyDescent="0.25">
      <c r="A10" s="256" t="s">
        <v>111</v>
      </c>
      <c r="B10" s="257"/>
      <c r="C10" s="261" t="str">
        <f>VLOOKUP(C9,Sheet1!A10:D18,4)</f>
        <v>Oil</v>
      </c>
      <c r="D10" s="262"/>
      <c r="E10" s="262"/>
      <c r="F10" s="262"/>
      <c r="G10" s="262"/>
      <c r="H10" s="263"/>
      <c r="K10" s="1"/>
    </row>
    <row r="11" spans="1:19" ht="15" customHeight="1" thickBot="1" x14ac:dyDescent="0.3">
      <c r="A11" s="254" t="s">
        <v>14</v>
      </c>
      <c r="B11" s="255"/>
      <c r="C11" s="251">
        <v>2</v>
      </c>
      <c r="D11" s="252"/>
      <c r="E11" s="252"/>
      <c r="F11" s="252"/>
      <c r="G11" s="252"/>
      <c r="H11" s="253"/>
    </row>
    <row r="12" spans="1:19" ht="14.4" thickBot="1" x14ac:dyDescent="0.3"/>
    <row r="13" spans="1:19" ht="14.4" thickBot="1" x14ac:dyDescent="0.3">
      <c r="A13" s="274" t="s">
        <v>144</v>
      </c>
      <c r="B13" s="275"/>
      <c r="C13" s="264" t="s">
        <v>114</v>
      </c>
      <c r="D13" s="265"/>
      <c r="H13" s="230" t="s">
        <v>173</v>
      </c>
      <c r="I13" s="231">
        <f>D91*((90*4*15000)+(90*3*3000))</f>
        <v>51678367.571341164</v>
      </c>
      <c r="J13" s="93" t="s">
        <v>18</v>
      </c>
    </row>
    <row r="14" spans="1:19" ht="14.4" customHeight="1" x14ac:dyDescent="0.25">
      <c r="A14" s="272" t="s">
        <v>112</v>
      </c>
      <c r="B14" s="273"/>
      <c r="C14" s="266">
        <v>120</v>
      </c>
      <c r="D14" s="267"/>
      <c r="E14" s="113">
        <f>VLOOKUP($C$9,Sheet1!$A$9:$C$18,2,FALSE)</f>
        <v>120</v>
      </c>
      <c r="F14" s="309" t="str">
        <f>IF(C14&gt;E14,"Value Exceeds Allowed Outage","Pass")</f>
        <v>Pass</v>
      </c>
      <c r="G14" s="309"/>
    </row>
    <row r="15" spans="1:19" ht="14.4" customHeight="1" thickBot="1" x14ac:dyDescent="0.3">
      <c r="A15" s="270" t="s">
        <v>113</v>
      </c>
      <c r="B15" s="271"/>
      <c r="C15" s="268">
        <v>100</v>
      </c>
      <c r="D15" s="269"/>
      <c r="E15" s="113">
        <f>VLOOKUP($C$9,Sheet1!$A$9:$C$18,3,FALSE)</f>
        <v>336</v>
      </c>
      <c r="F15" s="309" t="str">
        <f>IF(C15&gt;E15,"Value Exceeds Allowed Outage","Pass")</f>
        <v>Pass</v>
      </c>
      <c r="G15" s="309"/>
    </row>
    <row r="16" spans="1:19" ht="14.4" thickBot="1" x14ac:dyDescent="0.3"/>
    <row r="17" spans="1:19" s="3" customFormat="1" x14ac:dyDescent="0.25">
      <c r="A17" s="279" t="s">
        <v>6</v>
      </c>
      <c r="B17" s="280"/>
      <c r="C17" s="299"/>
      <c r="D17" s="316" t="s">
        <v>19</v>
      </c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8"/>
      <c r="S17" s="4"/>
    </row>
    <row r="18" spans="1:19" s="3" customFormat="1" ht="14.4" thickBot="1" x14ac:dyDescent="0.3">
      <c r="A18" s="327" t="s">
        <v>7</v>
      </c>
      <c r="B18" s="328"/>
      <c r="C18" s="329"/>
      <c r="D18" s="155" t="s">
        <v>20</v>
      </c>
      <c r="E18" s="54" t="s">
        <v>21</v>
      </c>
      <c r="F18" s="54" t="s">
        <v>22</v>
      </c>
      <c r="G18" s="54" t="s">
        <v>23</v>
      </c>
      <c r="H18" s="54" t="s">
        <v>24</v>
      </c>
      <c r="I18" s="54" t="s">
        <v>25</v>
      </c>
      <c r="J18" s="54" t="s">
        <v>26</v>
      </c>
      <c r="K18" s="54" t="s">
        <v>27</v>
      </c>
      <c r="L18" s="54" t="s">
        <v>28</v>
      </c>
      <c r="M18" s="54" t="s">
        <v>29</v>
      </c>
      <c r="N18" s="54" t="s">
        <v>30</v>
      </c>
      <c r="O18" s="54" t="s">
        <v>31</v>
      </c>
      <c r="P18" s="54" t="s">
        <v>32</v>
      </c>
      <c r="Q18" s="54" t="s">
        <v>33</v>
      </c>
      <c r="R18" s="55" t="s">
        <v>34</v>
      </c>
      <c r="S18" s="4"/>
    </row>
    <row r="19" spans="1:19" x14ac:dyDescent="0.25">
      <c r="A19" s="234" t="s">
        <v>61</v>
      </c>
      <c r="B19" s="235"/>
      <c r="C19" s="186" t="s">
        <v>15</v>
      </c>
      <c r="D19" s="184">
        <v>2.2000000000000002</v>
      </c>
      <c r="E19" s="56">
        <f>+$D$19</f>
        <v>2.2000000000000002</v>
      </c>
      <c r="F19" s="56">
        <f t="shared" ref="F19:R19" si="0">+$D$19</f>
        <v>2.2000000000000002</v>
      </c>
      <c r="G19" s="56">
        <f t="shared" si="0"/>
        <v>2.2000000000000002</v>
      </c>
      <c r="H19" s="56">
        <f t="shared" si="0"/>
        <v>2.2000000000000002</v>
      </c>
      <c r="I19" s="56">
        <f t="shared" si="0"/>
        <v>2.2000000000000002</v>
      </c>
      <c r="J19" s="56">
        <f t="shared" si="0"/>
        <v>2.2000000000000002</v>
      </c>
      <c r="K19" s="56">
        <f t="shared" si="0"/>
        <v>2.2000000000000002</v>
      </c>
      <c r="L19" s="56">
        <f t="shared" si="0"/>
        <v>2.2000000000000002</v>
      </c>
      <c r="M19" s="56">
        <f t="shared" si="0"/>
        <v>2.2000000000000002</v>
      </c>
      <c r="N19" s="56">
        <f t="shared" si="0"/>
        <v>2.2000000000000002</v>
      </c>
      <c r="O19" s="56">
        <f t="shared" si="0"/>
        <v>2.2000000000000002</v>
      </c>
      <c r="P19" s="56">
        <f t="shared" si="0"/>
        <v>2.2000000000000002</v>
      </c>
      <c r="Q19" s="56">
        <f t="shared" si="0"/>
        <v>2.2000000000000002</v>
      </c>
      <c r="R19" s="57">
        <f t="shared" si="0"/>
        <v>2.2000000000000002</v>
      </c>
    </row>
    <row r="20" spans="1:19" ht="14.4" thickBot="1" x14ac:dyDescent="0.3">
      <c r="A20" s="232" t="s">
        <v>60</v>
      </c>
      <c r="B20" s="233"/>
      <c r="C20" s="187" t="s">
        <v>15</v>
      </c>
      <c r="D20" s="185">
        <v>0.5</v>
      </c>
      <c r="E20" s="52">
        <f>+$D$20</f>
        <v>0.5</v>
      </c>
      <c r="F20" s="52">
        <f t="shared" ref="F20:R20" si="1">+$D$20</f>
        <v>0.5</v>
      </c>
      <c r="G20" s="52">
        <f t="shared" si="1"/>
        <v>0.5</v>
      </c>
      <c r="H20" s="52">
        <f t="shared" si="1"/>
        <v>0.5</v>
      </c>
      <c r="I20" s="52">
        <f t="shared" si="1"/>
        <v>0.5</v>
      </c>
      <c r="J20" s="52">
        <f t="shared" si="1"/>
        <v>0.5</v>
      </c>
      <c r="K20" s="52">
        <f t="shared" si="1"/>
        <v>0.5</v>
      </c>
      <c r="L20" s="52">
        <f t="shared" si="1"/>
        <v>0.5</v>
      </c>
      <c r="M20" s="52">
        <f t="shared" si="1"/>
        <v>0.5</v>
      </c>
      <c r="N20" s="52">
        <f t="shared" si="1"/>
        <v>0.5</v>
      </c>
      <c r="O20" s="52">
        <f t="shared" si="1"/>
        <v>0.5</v>
      </c>
      <c r="P20" s="52">
        <f t="shared" si="1"/>
        <v>0.5</v>
      </c>
      <c r="Q20" s="52">
        <f t="shared" si="1"/>
        <v>0.5</v>
      </c>
      <c r="R20" s="53">
        <f t="shared" si="1"/>
        <v>0.5</v>
      </c>
    </row>
    <row r="21" spans="1:19" ht="14.4" thickBot="1" x14ac:dyDescent="0.3">
      <c r="A21" s="276" t="s">
        <v>11</v>
      </c>
      <c r="B21" s="277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278"/>
    </row>
    <row r="22" spans="1:19" x14ac:dyDescent="0.25">
      <c r="A22" s="243" t="s">
        <v>9</v>
      </c>
      <c r="B22" s="244"/>
      <c r="C22" s="211" t="s">
        <v>15</v>
      </c>
      <c r="D22" s="227">
        <f>'VOM Declaration'!C30</f>
        <v>5.1692943913155855E-3</v>
      </c>
      <c r="E22" s="228">
        <f>D22*(1+E75)</f>
        <v>5.3657275781855782E-3</v>
      </c>
      <c r="F22" s="228">
        <f t="shared" ref="F22:R22" si="2">E22*(1+F75)</f>
        <v>5.5696252261566307E-3</v>
      </c>
      <c r="G22" s="228">
        <f t="shared" si="2"/>
        <v>5.781270984750583E-3</v>
      </c>
      <c r="H22" s="228">
        <f t="shared" si="2"/>
        <v>6.0009592821711052E-3</v>
      </c>
      <c r="I22" s="228">
        <f t="shared" si="2"/>
        <v>6.2289957348936071E-3</v>
      </c>
      <c r="J22" s="228">
        <f t="shared" si="2"/>
        <v>6.4656975728195646E-3</v>
      </c>
      <c r="K22" s="228">
        <f t="shared" si="2"/>
        <v>6.7113940805867082E-3</v>
      </c>
      <c r="L22" s="228">
        <f t="shared" si="2"/>
        <v>6.9664270556490035E-3</v>
      </c>
      <c r="M22" s="228">
        <f t="shared" si="2"/>
        <v>7.2311512837636661E-3</v>
      </c>
      <c r="N22" s="228">
        <f t="shared" si="2"/>
        <v>7.5059350325466859E-3</v>
      </c>
      <c r="O22" s="228">
        <f t="shared" si="2"/>
        <v>7.7911605637834601E-3</v>
      </c>
      <c r="P22" s="228">
        <f t="shared" si="2"/>
        <v>8.0872246652072318E-3</v>
      </c>
      <c r="Q22" s="228">
        <f t="shared" si="2"/>
        <v>8.3945392024851063E-3</v>
      </c>
      <c r="R22" s="229">
        <f t="shared" si="2"/>
        <v>8.7135316921795412E-3</v>
      </c>
    </row>
    <row r="23" spans="1:19" x14ac:dyDescent="0.25">
      <c r="A23" s="236" t="s">
        <v>10</v>
      </c>
      <c r="B23" s="237"/>
      <c r="C23" s="191" t="s">
        <v>16</v>
      </c>
      <c r="D23" s="188">
        <f>'VOM Declaration'!C60</f>
        <v>5.1692943913155855E-3</v>
      </c>
      <c r="E23" s="96">
        <f>D23*(1+E76)</f>
        <v>5.339881106228999E-3</v>
      </c>
      <c r="F23" s="96">
        <f t="shared" ref="F23:R23" si="3">E23*(1+F76)</f>
        <v>5.5160971827345551E-3</v>
      </c>
      <c r="G23" s="96">
        <f t="shared" si="3"/>
        <v>5.6981283897647953E-3</v>
      </c>
      <c r="H23" s="96">
        <f t="shared" si="3"/>
        <v>5.8861666266270332E-3</v>
      </c>
      <c r="I23" s="96">
        <f t="shared" si="3"/>
        <v>6.0804101253057246E-3</v>
      </c>
      <c r="J23" s="96">
        <f t="shared" si="3"/>
        <v>6.2810636594408126E-3</v>
      </c>
      <c r="K23" s="96">
        <f t="shared" si="3"/>
        <v>6.4883387602023591E-3</v>
      </c>
      <c r="L23" s="96">
        <f t="shared" si="3"/>
        <v>6.7024539392890369E-3</v>
      </c>
      <c r="M23" s="96">
        <f t="shared" si="3"/>
        <v>6.9236349192855744E-3</v>
      </c>
      <c r="N23" s="96">
        <f t="shared" si="3"/>
        <v>7.1521148716219979E-3</v>
      </c>
      <c r="O23" s="96">
        <f t="shared" si="3"/>
        <v>7.3881346623855234E-3</v>
      </c>
      <c r="P23" s="96">
        <f t="shared" si="3"/>
        <v>7.6319431062442447E-3</v>
      </c>
      <c r="Q23" s="96">
        <f t="shared" si="3"/>
        <v>7.8837972287503048E-3</v>
      </c>
      <c r="R23" s="97">
        <f t="shared" si="3"/>
        <v>8.143962537299064E-3</v>
      </c>
    </row>
    <row r="24" spans="1:19" x14ac:dyDescent="0.25">
      <c r="A24" s="238"/>
      <c r="B24" s="239"/>
      <c r="C24" s="191" t="s">
        <v>15</v>
      </c>
      <c r="D24" s="189">
        <f>+D23*D25</f>
        <v>0.296510726285862</v>
      </c>
      <c r="E24" s="98">
        <f t="shared" ref="E24:R24" si="4">+E23*E25</f>
        <v>0.3062955802532954</v>
      </c>
      <c r="F24" s="98">
        <f t="shared" si="4"/>
        <v>0.31640333440165408</v>
      </c>
      <c r="G24" s="98">
        <f t="shared" si="4"/>
        <v>0.32684464443690864</v>
      </c>
      <c r="H24" s="98">
        <f t="shared" si="4"/>
        <v>0.33763051770332664</v>
      </c>
      <c r="I24" s="98">
        <f t="shared" si="4"/>
        <v>0.34877232478753634</v>
      </c>
      <c r="J24" s="98">
        <f t="shared" si="4"/>
        <v>0.36028181150552502</v>
      </c>
      <c r="K24" s="98">
        <f t="shared" si="4"/>
        <v>0.3721711112852073</v>
      </c>
      <c r="L24" s="98">
        <f t="shared" si="4"/>
        <v>0.38445275795761913</v>
      </c>
      <c r="M24" s="98">
        <f t="shared" si="4"/>
        <v>0.39713969897022056</v>
      </c>
      <c r="N24" s="98">
        <f t="shared" si="4"/>
        <v>0.41024530903623779</v>
      </c>
      <c r="O24" s="98">
        <f t="shared" si="4"/>
        <v>0.42378340423443361</v>
      </c>
      <c r="P24" s="98">
        <f t="shared" si="4"/>
        <v>0.43776825657416985</v>
      </c>
      <c r="Q24" s="98">
        <f t="shared" si="4"/>
        <v>0.45221460904111749</v>
      </c>
      <c r="R24" s="99">
        <f t="shared" si="4"/>
        <v>0.46713769113947429</v>
      </c>
    </row>
    <row r="25" spans="1:19" ht="14.4" thickBot="1" x14ac:dyDescent="0.3">
      <c r="A25" s="330" t="s">
        <v>12</v>
      </c>
      <c r="B25" s="331"/>
      <c r="C25" s="187" t="s">
        <v>17</v>
      </c>
      <c r="D25" s="190">
        <f>P4</f>
        <v>57.36</v>
      </c>
      <c r="E25" s="100">
        <f t="shared" ref="E25:R25" si="5">IF(E77&lt;=$S77,D25*(1+E77),D25*(1+$S77))</f>
        <v>57.36</v>
      </c>
      <c r="F25" s="100">
        <f t="shared" si="5"/>
        <v>57.36</v>
      </c>
      <c r="G25" s="100">
        <f t="shared" si="5"/>
        <v>57.36</v>
      </c>
      <c r="H25" s="100">
        <f t="shared" si="5"/>
        <v>57.36</v>
      </c>
      <c r="I25" s="100">
        <f t="shared" si="5"/>
        <v>57.36</v>
      </c>
      <c r="J25" s="100">
        <f t="shared" si="5"/>
        <v>57.36</v>
      </c>
      <c r="K25" s="100">
        <f t="shared" si="5"/>
        <v>57.36</v>
      </c>
      <c r="L25" s="100">
        <f t="shared" si="5"/>
        <v>57.36</v>
      </c>
      <c r="M25" s="100">
        <f t="shared" si="5"/>
        <v>57.36</v>
      </c>
      <c r="N25" s="100">
        <f t="shared" si="5"/>
        <v>57.36</v>
      </c>
      <c r="O25" s="100">
        <f t="shared" si="5"/>
        <v>57.36</v>
      </c>
      <c r="P25" s="100">
        <f t="shared" si="5"/>
        <v>57.36</v>
      </c>
      <c r="Q25" s="100">
        <f t="shared" si="5"/>
        <v>57.36</v>
      </c>
      <c r="R25" s="101">
        <f t="shared" si="5"/>
        <v>57.36</v>
      </c>
    </row>
    <row r="26" spans="1:19" ht="14.4" thickBot="1" x14ac:dyDescent="0.3">
      <c r="A26" s="276" t="s">
        <v>13</v>
      </c>
      <c r="B26" s="277"/>
      <c r="C26" s="326"/>
      <c r="D26" s="326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326"/>
      <c r="R26" s="278"/>
    </row>
    <row r="27" spans="1:19" x14ac:dyDescent="0.25">
      <c r="A27" s="240" t="s">
        <v>162</v>
      </c>
      <c r="B27" s="175" t="s">
        <v>63</v>
      </c>
      <c r="C27" s="186" t="s">
        <v>164</v>
      </c>
      <c r="D27" s="192">
        <f>'Fuel Cost Declaration'!I5</f>
        <v>43570.35</v>
      </c>
      <c r="E27" s="176">
        <f>$D27</f>
        <v>43570.35</v>
      </c>
      <c r="F27" s="176">
        <f t="shared" ref="F27:R27" si="6">$D27</f>
        <v>43570.35</v>
      </c>
      <c r="G27" s="176">
        <f t="shared" si="6"/>
        <v>43570.35</v>
      </c>
      <c r="H27" s="176">
        <f t="shared" si="6"/>
        <v>43570.35</v>
      </c>
      <c r="I27" s="176">
        <f t="shared" si="6"/>
        <v>43570.35</v>
      </c>
      <c r="J27" s="176">
        <f t="shared" si="6"/>
        <v>43570.35</v>
      </c>
      <c r="K27" s="176">
        <f t="shared" si="6"/>
        <v>43570.35</v>
      </c>
      <c r="L27" s="176">
        <f t="shared" si="6"/>
        <v>43570.35</v>
      </c>
      <c r="M27" s="176">
        <f t="shared" si="6"/>
        <v>43570.35</v>
      </c>
      <c r="N27" s="176">
        <f t="shared" si="6"/>
        <v>43570.35</v>
      </c>
      <c r="O27" s="176">
        <f t="shared" si="6"/>
        <v>43570.35</v>
      </c>
      <c r="P27" s="176">
        <f t="shared" si="6"/>
        <v>43570.35</v>
      </c>
      <c r="Q27" s="176">
        <f t="shared" si="6"/>
        <v>43570.35</v>
      </c>
      <c r="R27" s="177">
        <f t="shared" si="6"/>
        <v>43570.35</v>
      </c>
    </row>
    <row r="28" spans="1:19" x14ac:dyDescent="0.25">
      <c r="A28" s="241"/>
      <c r="B28" s="31" t="s">
        <v>66</v>
      </c>
      <c r="C28" s="191" t="s">
        <v>18</v>
      </c>
      <c r="D28" s="193">
        <f>'Fuel Cost Declaration'!J5</f>
        <v>279769170.27999997</v>
      </c>
      <c r="E28" s="7">
        <f t="shared" ref="E28:R28" si="7">D28*(1-(D$77-E$77))</f>
        <v>281475762.21870798</v>
      </c>
      <c r="F28" s="7">
        <f t="shared" si="7"/>
        <v>281532057.37115169</v>
      </c>
      <c r="G28" s="7">
        <f t="shared" si="7"/>
        <v>283362015.74406415</v>
      </c>
      <c r="H28" s="7">
        <f t="shared" si="7"/>
        <v>285175532.64482623</v>
      </c>
      <c r="I28" s="7">
        <f t="shared" si="7"/>
        <v>287000656.05375314</v>
      </c>
      <c r="J28" s="7">
        <f t="shared" si="7"/>
        <v>288837460.25249714</v>
      </c>
      <c r="K28" s="7">
        <f t="shared" si="7"/>
        <v>290686019.9981131</v>
      </c>
      <c r="L28" s="7">
        <f t="shared" si="7"/>
        <v>292575479.12810081</v>
      </c>
      <c r="M28" s="7">
        <f t="shared" si="7"/>
        <v>294447962.19452071</v>
      </c>
      <c r="N28" s="7">
        <f t="shared" si="7"/>
        <v>295714088.43195713</v>
      </c>
      <c r="O28" s="7">
        <f t="shared" si="7"/>
        <v>297429230.14486247</v>
      </c>
      <c r="P28" s="7">
        <f t="shared" si="7"/>
        <v>299154319.67970264</v>
      </c>
      <c r="Q28" s="7">
        <f t="shared" si="7"/>
        <v>300889414.73384494</v>
      </c>
      <c r="R28" s="37">
        <f t="shared" si="7"/>
        <v>302634573.33930123</v>
      </c>
    </row>
    <row r="29" spans="1:19" x14ac:dyDescent="0.25">
      <c r="A29" s="241"/>
      <c r="B29" s="31" t="s">
        <v>73</v>
      </c>
      <c r="C29" s="191" t="s">
        <v>18</v>
      </c>
      <c r="D29" s="193">
        <f>'Fuel Cost Declaration'!K5</f>
        <v>0</v>
      </c>
      <c r="E29" s="7">
        <f t="shared" ref="E29:R29" si="8">D29*(1-(D$77-E$77))</f>
        <v>0</v>
      </c>
      <c r="F29" s="7">
        <f t="shared" si="8"/>
        <v>0</v>
      </c>
      <c r="G29" s="7">
        <f t="shared" si="8"/>
        <v>0</v>
      </c>
      <c r="H29" s="7">
        <f t="shared" si="8"/>
        <v>0</v>
      </c>
      <c r="I29" s="7">
        <f t="shared" si="8"/>
        <v>0</v>
      </c>
      <c r="J29" s="7">
        <f t="shared" si="8"/>
        <v>0</v>
      </c>
      <c r="K29" s="7">
        <f t="shared" si="8"/>
        <v>0</v>
      </c>
      <c r="L29" s="7">
        <f t="shared" si="8"/>
        <v>0</v>
      </c>
      <c r="M29" s="7">
        <f t="shared" si="8"/>
        <v>0</v>
      </c>
      <c r="N29" s="7">
        <f t="shared" si="8"/>
        <v>0</v>
      </c>
      <c r="O29" s="7">
        <f t="shared" si="8"/>
        <v>0</v>
      </c>
      <c r="P29" s="7">
        <f t="shared" si="8"/>
        <v>0</v>
      </c>
      <c r="Q29" s="7">
        <f t="shared" si="8"/>
        <v>0</v>
      </c>
      <c r="R29" s="37">
        <f t="shared" si="8"/>
        <v>0</v>
      </c>
    </row>
    <row r="30" spans="1:19" x14ac:dyDescent="0.25">
      <c r="A30" s="241"/>
      <c r="B30" s="31" t="s">
        <v>67</v>
      </c>
      <c r="C30" s="191" t="s">
        <v>18</v>
      </c>
      <c r="D30" s="193">
        <f>+D28/D27</f>
        <v>6421.0907252294273</v>
      </c>
      <c r="E30" s="7">
        <f>+E28/E27</f>
        <v>6460.2593786533271</v>
      </c>
      <c r="F30" s="7">
        <f t="shared" ref="F30:G30" si="9">+F28/F27</f>
        <v>6461.5514305290571</v>
      </c>
      <c r="G30" s="7">
        <f t="shared" si="9"/>
        <v>6503.5515148274953</v>
      </c>
      <c r="H30" s="7">
        <f>+H28/H27</f>
        <v>6545.1742445223927</v>
      </c>
      <c r="I30" s="7">
        <f t="shared" ref="I30:R30" si="10">+I28/I27</f>
        <v>6587.0633596873367</v>
      </c>
      <c r="J30" s="7">
        <f t="shared" si="10"/>
        <v>6629.2205651893355</v>
      </c>
      <c r="K30" s="7">
        <f t="shared" si="10"/>
        <v>6671.6475768065466</v>
      </c>
      <c r="L30" s="7">
        <f t="shared" si="10"/>
        <v>6715.0132860557887</v>
      </c>
      <c r="M30" s="7">
        <f t="shared" si="10"/>
        <v>6757.9893710865472</v>
      </c>
      <c r="N30" s="7">
        <f t="shared" si="10"/>
        <v>6787.0487253822184</v>
      </c>
      <c r="O30" s="7">
        <f t="shared" si="10"/>
        <v>6826.4136079894351</v>
      </c>
      <c r="P30" s="7">
        <f t="shared" si="10"/>
        <v>6866.0068069157733</v>
      </c>
      <c r="Q30" s="7">
        <f t="shared" si="10"/>
        <v>6905.829646395885</v>
      </c>
      <c r="R30" s="37">
        <f t="shared" si="10"/>
        <v>6945.8834583449807</v>
      </c>
    </row>
    <row r="31" spans="1:19" ht="14.4" thickBot="1" x14ac:dyDescent="0.3">
      <c r="A31" s="242"/>
      <c r="B31" s="32" t="s">
        <v>62</v>
      </c>
      <c r="C31" s="187" t="s">
        <v>68</v>
      </c>
      <c r="D31" s="194">
        <f>'Fuel Cost Declaration'!K19</f>
        <v>0.80111681089299158</v>
      </c>
      <c r="E31" s="34">
        <f>$D31</f>
        <v>0.80111681089299158</v>
      </c>
      <c r="F31" s="34">
        <f t="shared" ref="F31:R32" si="11">$D31</f>
        <v>0.80111681089299158</v>
      </c>
      <c r="G31" s="34">
        <f t="shared" si="11"/>
        <v>0.80111681089299158</v>
      </c>
      <c r="H31" s="34">
        <f t="shared" si="11"/>
        <v>0.80111681089299158</v>
      </c>
      <c r="I31" s="34">
        <f t="shared" si="11"/>
        <v>0.80111681089299158</v>
      </c>
      <c r="J31" s="34">
        <f t="shared" si="11"/>
        <v>0.80111681089299158</v>
      </c>
      <c r="K31" s="34">
        <f t="shared" si="11"/>
        <v>0.80111681089299158</v>
      </c>
      <c r="L31" s="34">
        <f t="shared" si="11"/>
        <v>0.80111681089299158</v>
      </c>
      <c r="M31" s="34">
        <f t="shared" si="11"/>
        <v>0.80111681089299158</v>
      </c>
      <c r="N31" s="34">
        <f t="shared" si="11"/>
        <v>0.80111681089299158</v>
      </c>
      <c r="O31" s="34">
        <f t="shared" si="11"/>
        <v>0.80111681089299158</v>
      </c>
      <c r="P31" s="34">
        <f t="shared" si="11"/>
        <v>0.80111681089299158</v>
      </c>
      <c r="Q31" s="34">
        <f t="shared" si="11"/>
        <v>0.80111681089299158</v>
      </c>
      <c r="R31" s="36">
        <f t="shared" si="11"/>
        <v>0.80111681089299158</v>
      </c>
    </row>
    <row r="32" spans="1:19" x14ac:dyDescent="0.25">
      <c r="A32" s="240" t="s">
        <v>150</v>
      </c>
      <c r="B32" s="175" t="s">
        <v>63</v>
      </c>
      <c r="C32" s="186" t="s">
        <v>164</v>
      </c>
      <c r="D32" s="192">
        <f>'Fuel Cost Declaration'!I6</f>
        <v>0</v>
      </c>
      <c r="E32" s="176">
        <f>$D32</f>
        <v>0</v>
      </c>
      <c r="F32" s="176">
        <f t="shared" si="11"/>
        <v>0</v>
      </c>
      <c r="G32" s="176">
        <f t="shared" si="11"/>
        <v>0</v>
      </c>
      <c r="H32" s="176">
        <f t="shared" si="11"/>
        <v>0</v>
      </c>
      <c r="I32" s="176">
        <f t="shared" si="11"/>
        <v>0</v>
      </c>
      <c r="J32" s="176">
        <f t="shared" si="11"/>
        <v>0</v>
      </c>
      <c r="K32" s="176">
        <f t="shared" si="11"/>
        <v>0</v>
      </c>
      <c r="L32" s="176">
        <f t="shared" si="11"/>
        <v>0</v>
      </c>
      <c r="M32" s="176">
        <f t="shared" si="11"/>
        <v>0</v>
      </c>
      <c r="N32" s="176">
        <f t="shared" si="11"/>
        <v>0</v>
      </c>
      <c r="O32" s="176">
        <f t="shared" si="11"/>
        <v>0</v>
      </c>
      <c r="P32" s="176">
        <f t="shared" si="11"/>
        <v>0</v>
      </c>
      <c r="Q32" s="176">
        <f t="shared" si="11"/>
        <v>0</v>
      </c>
      <c r="R32" s="177">
        <f t="shared" si="11"/>
        <v>0</v>
      </c>
    </row>
    <row r="33" spans="1:18" x14ac:dyDescent="0.25">
      <c r="A33" s="241"/>
      <c r="B33" s="31" t="s">
        <v>66</v>
      </c>
      <c r="C33" s="191" t="s">
        <v>18</v>
      </c>
      <c r="D33" s="193">
        <f>'Fuel Cost Declaration'!J6</f>
        <v>0</v>
      </c>
      <c r="E33" s="7">
        <f>D33*(1-(D$77-E$77))</f>
        <v>0</v>
      </c>
      <c r="F33" s="7">
        <f t="shared" ref="F33:F34" si="12">E33*(1-(E$77-F$77))</f>
        <v>0</v>
      </c>
      <c r="G33" s="7">
        <f t="shared" ref="G33:G34" si="13">F33*(1-(F$77-G$77))</f>
        <v>0</v>
      </c>
      <c r="H33" s="7">
        <f t="shared" ref="H33:H34" si="14">G33*(1-(G$77-H$77))</f>
        <v>0</v>
      </c>
      <c r="I33" s="7">
        <f t="shared" ref="I33:I34" si="15">H33*(1-(H$77-I$77))</f>
        <v>0</v>
      </c>
      <c r="J33" s="7">
        <f t="shared" ref="J33:J34" si="16">I33*(1-(I$77-J$77))</f>
        <v>0</v>
      </c>
      <c r="K33" s="7">
        <f t="shared" ref="K33:K34" si="17">J33*(1-(J$77-K$77))</f>
        <v>0</v>
      </c>
      <c r="L33" s="7">
        <f t="shared" ref="L33:L34" si="18">K33*(1-(K$77-L$77))</f>
        <v>0</v>
      </c>
      <c r="M33" s="7">
        <f t="shared" ref="M33:M34" si="19">L33*(1-(L$77-M$77))</f>
        <v>0</v>
      </c>
      <c r="N33" s="7">
        <f t="shared" ref="N33:N34" si="20">M33*(1-(M$77-N$77))</f>
        <v>0</v>
      </c>
      <c r="O33" s="7">
        <f t="shared" ref="O33:O34" si="21">N33*(1-(N$77-O$77))</f>
        <v>0</v>
      </c>
      <c r="P33" s="7">
        <f t="shared" ref="P33:P34" si="22">O33*(1-(O$77-P$77))</f>
        <v>0</v>
      </c>
      <c r="Q33" s="7">
        <f t="shared" ref="Q33:Q34" si="23">P33*(1-(P$77-Q$77))</f>
        <v>0</v>
      </c>
      <c r="R33" s="37">
        <f t="shared" ref="R33:R34" si="24">Q33*(1-(Q$77-R$77))</f>
        <v>0</v>
      </c>
    </row>
    <row r="34" spans="1:18" x14ac:dyDescent="0.25">
      <c r="A34" s="241"/>
      <c r="B34" s="31" t="s">
        <v>73</v>
      </c>
      <c r="C34" s="191" t="s">
        <v>18</v>
      </c>
      <c r="D34" s="193">
        <f>'Fuel Cost Declaration'!K6</f>
        <v>0</v>
      </c>
      <c r="E34" s="7">
        <f>D34*(1-(D$77-E$77))</f>
        <v>0</v>
      </c>
      <c r="F34" s="7">
        <f t="shared" si="12"/>
        <v>0</v>
      </c>
      <c r="G34" s="7">
        <f t="shared" si="13"/>
        <v>0</v>
      </c>
      <c r="H34" s="7">
        <f t="shared" si="14"/>
        <v>0</v>
      </c>
      <c r="I34" s="7">
        <f t="shared" si="15"/>
        <v>0</v>
      </c>
      <c r="J34" s="7">
        <f t="shared" si="16"/>
        <v>0</v>
      </c>
      <c r="K34" s="7">
        <f t="shared" si="17"/>
        <v>0</v>
      </c>
      <c r="L34" s="7">
        <f t="shared" si="18"/>
        <v>0</v>
      </c>
      <c r="M34" s="7">
        <f t="shared" si="19"/>
        <v>0</v>
      </c>
      <c r="N34" s="7">
        <f t="shared" si="20"/>
        <v>0</v>
      </c>
      <c r="O34" s="7">
        <f t="shared" si="21"/>
        <v>0</v>
      </c>
      <c r="P34" s="7">
        <f t="shared" si="22"/>
        <v>0</v>
      </c>
      <c r="Q34" s="7">
        <f t="shared" si="23"/>
        <v>0</v>
      </c>
      <c r="R34" s="37">
        <f t="shared" si="24"/>
        <v>0</v>
      </c>
    </row>
    <row r="35" spans="1:18" x14ac:dyDescent="0.25">
      <c r="A35" s="241"/>
      <c r="B35" s="31" t="s">
        <v>67</v>
      </c>
      <c r="C35" s="191" t="s">
        <v>18</v>
      </c>
      <c r="D35" s="193" t="e">
        <f>+D33/D32</f>
        <v>#DIV/0!</v>
      </c>
      <c r="E35" s="7" t="e">
        <f>+E33/E32</f>
        <v>#DIV/0!</v>
      </c>
      <c r="F35" s="7" t="e">
        <f t="shared" ref="F35:G35" si="25">+F33/F32</f>
        <v>#DIV/0!</v>
      </c>
      <c r="G35" s="7" t="e">
        <f t="shared" si="25"/>
        <v>#DIV/0!</v>
      </c>
      <c r="H35" s="7" t="e">
        <f>+H33/H32</f>
        <v>#DIV/0!</v>
      </c>
      <c r="I35" s="7" t="e">
        <f t="shared" ref="I35:R35" si="26">+I33/I32</f>
        <v>#DIV/0!</v>
      </c>
      <c r="J35" s="7" t="e">
        <f t="shared" si="26"/>
        <v>#DIV/0!</v>
      </c>
      <c r="K35" s="7" t="e">
        <f t="shared" si="26"/>
        <v>#DIV/0!</v>
      </c>
      <c r="L35" s="7" t="e">
        <f t="shared" si="26"/>
        <v>#DIV/0!</v>
      </c>
      <c r="M35" s="7" t="e">
        <f t="shared" si="26"/>
        <v>#DIV/0!</v>
      </c>
      <c r="N35" s="7" t="e">
        <f t="shared" si="26"/>
        <v>#DIV/0!</v>
      </c>
      <c r="O35" s="7" t="e">
        <f t="shared" si="26"/>
        <v>#DIV/0!</v>
      </c>
      <c r="P35" s="7" t="e">
        <f t="shared" si="26"/>
        <v>#DIV/0!</v>
      </c>
      <c r="Q35" s="7" t="e">
        <f t="shared" si="26"/>
        <v>#DIV/0!</v>
      </c>
      <c r="R35" s="37" t="e">
        <f t="shared" si="26"/>
        <v>#DIV/0!</v>
      </c>
    </row>
    <row r="36" spans="1:18" ht="14.4" thickBot="1" x14ac:dyDescent="0.3">
      <c r="A36" s="242"/>
      <c r="B36" s="32" t="s">
        <v>62</v>
      </c>
      <c r="C36" s="187" t="s">
        <v>68</v>
      </c>
      <c r="D36" s="194">
        <f>'Fuel Cost Declaration'!K19</f>
        <v>0.80111681089299158</v>
      </c>
      <c r="E36" s="34">
        <f>$D36</f>
        <v>0.80111681089299158</v>
      </c>
      <c r="F36" s="34">
        <f t="shared" ref="F36:R36" si="27">$D36</f>
        <v>0.80111681089299158</v>
      </c>
      <c r="G36" s="34">
        <f t="shared" si="27"/>
        <v>0.80111681089299158</v>
      </c>
      <c r="H36" s="34">
        <f t="shared" si="27"/>
        <v>0.80111681089299158</v>
      </c>
      <c r="I36" s="34">
        <f t="shared" si="27"/>
        <v>0.80111681089299158</v>
      </c>
      <c r="J36" s="34">
        <f t="shared" si="27"/>
        <v>0.80111681089299158</v>
      </c>
      <c r="K36" s="34">
        <f t="shared" si="27"/>
        <v>0.80111681089299158</v>
      </c>
      <c r="L36" s="34">
        <f t="shared" si="27"/>
        <v>0.80111681089299158</v>
      </c>
      <c r="M36" s="34">
        <f t="shared" si="27"/>
        <v>0.80111681089299158</v>
      </c>
      <c r="N36" s="34">
        <f t="shared" si="27"/>
        <v>0.80111681089299158</v>
      </c>
      <c r="O36" s="34">
        <f t="shared" si="27"/>
        <v>0.80111681089299158</v>
      </c>
      <c r="P36" s="34">
        <f t="shared" si="27"/>
        <v>0.80111681089299158</v>
      </c>
      <c r="Q36" s="34">
        <f t="shared" si="27"/>
        <v>0.80111681089299158</v>
      </c>
      <c r="R36" s="36">
        <f t="shared" si="27"/>
        <v>0.80111681089299158</v>
      </c>
    </row>
    <row r="37" spans="1:18" x14ac:dyDescent="0.25">
      <c r="A37" s="282" t="s">
        <v>64</v>
      </c>
      <c r="B37" s="175" t="s">
        <v>63</v>
      </c>
      <c r="C37" s="186" t="s">
        <v>164</v>
      </c>
      <c r="D37" s="192">
        <f>'Fuel Cost Declaration'!I8</f>
        <v>47234.36</v>
      </c>
      <c r="E37" s="176">
        <f>$D37</f>
        <v>47234.36</v>
      </c>
      <c r="F37" s="176">
        <f t="shared" ref="F37:R37" si="28">$D37</f>
        <v>47234.36</v>
      </c>
      <c r="G37" s="176">
        <f t="shared" si="28"/>
        <v>47234.36</v>
      </c>
      <c r="H37" s="176">
        <f t="shared" si="28"/>
        <v>47234.36</v>
      </c>
      <c r="I37" s="176">
        <f t="shared" si="28"/>
        <v>47234.36</v>
      </c>
      <c r="J37" s="176">
        <f t="shared" si="28"/>
        <v>47234.36</v>
      </c>
      <c r="K37" s="176">
        <f t="shared" si="28"/>
        <v>47234.36</v>
      </c>
      <c r="L37" s="176">
        <f t="shared" si="28"/>
        <v>47234.36</v>
      </c>
      <c r="M37" s="176">
        <f t="shared" si="28"/>
        <v>47234.36</v>
      </c>
      <c r="N37" s="176">
        <f t="shared" si="28"/>
        <v>47234.36</v>
      </c>
      <c r="O37" s="176">
        <f t="shared" si="28"/>
        <v>47234.36</v>
      </c>
      <c r="P37" s="176">
        <f t="shared" si="28"/>
        <v>47234.36</v>
      </c>
      <c r="Q37" s="176">
        <f t="shared" si="28"/>
        <v>47234.36</v>
      </c>
      <c r="R37" s="177">
        <f t="shared" si="28"/>
        <v>47234.36</v>
      </c>
    </row>
    <row r="38" spans="1:18" x14ac:dyDescent="0.25">
      <c r="A38" s="283"/>
      <c r="B38" s="31" t="s">
        <v>66</v>
      </c>
      <c r="C38" s="191" t="s">
        <v>18</v>
      </c>
      <c r="D38" s="193">
        <f>'Fuel Cost Declaration'!J8</f>
        <v>223634551.99000001</v>
      </c>
      <c r="E38" s="7">
        <f>D38*(1-(D$77-E$77))</f>
        <v>224998722.757139</v>
      </c>
      <c r="F38" s="7">
        <f t="shared" ref="F38:R38" si="29">E38*(1-(E$77-F$77))</f>
        <v>225043722.50169042</v>
      </c>
      <c r="G38" s="7">
        <f t="shared" si="29"/>
        <v>226506506.69795141</v>
      </c>
      <c r="H38" s="7">
        <f t="shared" si="29"/>
        <v>227956148.34081835</v>
      </c>
      <c r="I38" s="7">
        <f t="shared" si="29"/>
        <v>229415067.69019958</v>
      </c>
      <c r="J38" s="7">
        <f t="shared" si="29"/>
        <v>230883324.12341684</v>
      </c>
      <c r="K38" s="7">
        <f t="shared" si="29"/>
        <v>232360977.3978067</v>
      </c>
      <c r="L38" s="7">
        <f t="shared" si="29"/>
        <v>233871323.75089243</v>
      </c>
      <c r="M38" s="7">
        <f t="shared" si="29"/>
        <v>235368100.22289819</v>
      </c>
      <c r="N38" s="7">
        <f t="shared" si="29"/>
        <v>236380183.05385664</v>
      </c>
      <c r="O38" s="7">
        <f t="shared" si="29"/>
        <v>237751188.11556903</v>
      </c>
      <c r="P38" s="7">
        <f t="shared" si="29"/>
        <v>239130145.00663927</v>
      </c>
      <c r="Q38" s="7">
        <f t="shared" si="29"/>
        <v>240517099.8476778</v>
      </c>
      <c r="R38" s="37">
        <f t="shared" si="29"/>
        <v>241912099.02679434</v>
      </c>
    </row>
    <row r="39" spans="1:18" x14ac:dyDescent="0.25">
      <c r="A39" s="283"/>
      <c r="B39" s="31" t="s">
        <v>73</v>
      </c>
      <c r="C39" s="191" t="s">
        <v>18</v>
      </c>
      <c r="D39" s="193">
        <f>'Fuel Cost Declaration'!K8</f>
        <v>0</v>
      </c>
      <c r="E39" s="7">
        <f>D39*(1-(D$77-E$77))</f>
        <v>0</v>
      </c>
      <c r="F39" s="7">
        <f t="shared" ref="F39:R39" si="30">E39*(1-(E$77-F$77))</f>
        <v>0</v>
      </c>
      <c r="G39" s="7">
        <f t="shared" si="30"/>
        <v>0</v>
      </c>
      <c r="H39" s="7">
        <f t="shared" si="30"/>
        <v>0</v>
      </c>
      <c r="I39" s="7">
        <f t="shared" si="30"/>
        <v>0</v>
      </c>
      <c r="J39" s="7">
        <f t="shared" si="30"/>
        <v>0</v>
      </c>
      <c r="K39" s="7">
        <f t="shared" si="30"/>
        <v>0</v>
      </c>
      <c r="L39" s="7">
        <f t="shared" si="30"/>
        <v>0</v>
      </c>
      <c r="M39" s="7">
        <f t="shared" si="30"/>
        <v>0</v>
      </c>
      <c r="N39" s="7">
        <f t="shared" si="30"/>
        <v>0</v>
      </c>
      <c r="O39" s="7">
        <f t="shared" si="30"/>
        <v>0</v>
      </c>
      <c r="P39" s="7">
        <f t="shared" si="30"/>
        <v>0</v>
      </c>
      <c r="Q39" s="7">
        <f t="shared" si="30"/>
        <v>0</v>
      </c>
      <c r="R39" s="37">
        <f t="shared" si="30"/>
        <v>0</v>
      </c>
    </row>
    <row r="40" spans="1:18" x14ac:dyDescent="0.25">
      <c r="A40" s="283"/>
      <c r="B40" s="31" t="s">
        <v>67</v>
      </c>
      <c r="C40" s="191" t="s">
        <v>18</v>
      </c>
      <c r="D40" s="193">
        <f>+D38/D37</f>
        <v>4734.5735602218383</v>
      </c>
      <c r="E40" s="7">
        <f>+E38/E37</f>
        <v>4763.4544589391917</v>
      </c>
      <c r="F40" s="7">
        <f t="shared" ref="F40:R40" si="31">+F38/F37</f>
        <v>4764.4071498309795</v>
      </c>
      <c r="G40" s="7">
        <f t="shared" si="31"/>
        <v>4795.3757963048811</v>
      </c>
      <c r="H40" s="7">
        <f>+H38/H37</f>
        <v>4826.0662014012332</v>
      </c>
      <c r="I40" s="7">
        <f t="shared" si="31"/>
        <v>4856.9530250902008</v>
      </c>
      <c r="J40" s="7">
        <f t="shared" si="31"/>
        <v>4888.0375244507777</v>
      </c>
      <c r="K40" s="7">
        <f t="shared" si="31"/>
        <v>4919.3209646072628</v>
      </c>
      <c r="L40" s="7">
        <f t="shared" si="31"/>
        <v>4951.2965508772095</v>
      </c>
      <c r="M40" s="7">
        <f t="shared" si="31"/>
        <v>4982.9848488028247</v>
      </c>
      <c r="N40" s="7">
        <f t="shared" si="31"/>
        <v>5004.4116836526764</v>
      </c>
      <c r="O40" s="7">
        <f t="shared" si="31"/>
        <v>5033.4372714178626</v>
      </c>
      <c r="P40" s="7">
        <f t="shared" si="31"/>
        <v>5062.631207592085</v>
      </c>
      <c r="Q40" s="7">
        <f t="shared" si="31"/>
        <v>5091.9944685961191</v>
      </c>
      <c r="R40" s="37">
        <f t="shared" si="31"/>
        <v>5121.528036513977</v>
      </c>
    </row>
    <row r="41" spans="1:18" ht="14.4" thickBot="1" x14ac:dyDescent="0.3">
      <c r="A41" s="284"/>
      <c r="B41" s="32" t="s">
        <v>62</v>
      </c>
      <c r="C41" s="187" t="s">
        <v>68</v>
      </c>
      <c r="D41" s="194">
        <f>'Fuel Cost Declaration'!K19</f>
        <v>0.80111681089299158</v>
      </c>
      <c r="E41" s="34">
        <f>$D41</f>
        <v>0.80111681089299158</v>
      </c>
      <c r="F41" s="34">
        <f t="shared" ref="F41:R42" si="32">$D41</f>
        <v>0.80111681089299158</v>
      </c>
      <c r="G41" s="34">
        <f t="shared" si="32"/>
        <v>0.80111681089299158</v>
      </c>
      <c r="H41" s="34">
        <f t="shared" si="32"/>
        <v>0.80111681089299158</v>
      </c>
      <c r="I41" s="34">
        <f t="shared" si="32"/>
        <v>0.80111681089299158</v>
      </c>
      <c r="J41" s="34">
        <f t="shared" si="32"/>
        <v>0.80111681089299158</v>
      </c>
      <c r="K41" s="34">
        <f t="shared" si="32"/>
        <v>0.80111681089299158</v>
      </c>
      <c r="L41" s="34">
        <f t="shared" si="32"/>
        <v>0.80111681089299158</v>
      </c>
      <c r="M41" s="34">
        <f t="shared" si="32"/>
        <v>0.80111681089299158</v>
      </c>
      <c r="N41" s="34">
        <f t="shared" si="32"/>
        <v>0.80111681089299158</v>
      </c>
      <c r="O41" s="34">
        <f t="shared" si="32"/>
        <v>0.80111681089299158</v>
      </c>
      <c r="P41" s="34">
        <f t="shared" si="32"/>
        <v>0.80111681089299158</v>
      </c>
      <c r="Q41" s="34">
        <f t="shared" si="32"/>
        <v>0.80111681089299158</v>
      </c>
      <c r="R41" s="36">
        <f t="shared" si="32"/>
        <v>0.80111681089299158</v>
      </c>
    </row>
    <row r="42" spans="1:18" x14ac:dyDescent="0.25">
      <c r="A42" s="282" t="s">
        <v>65</v>
      </c>
      <c r="B42" s="175" t="s">
        <v>63</v>
      </c>
      <c r="C42" s="186" t="s">
        <v>164</v>
      </c>
      <c r="D42" s="192">
        <f>'Fuel Cost Declaration'!I9</f>
        <v>36289.6728</v>
      </c>
      <c r="E42" s="178">
        <f>$D42</f>
        <v>36289.6728</v>
      </c>
      <c r="F42" s="178">
        <f t="shared" si="32"/>
        <v>36289.6728</v>
      </c>
      <c r="G42" s="178">
        <f t="shared" si="32"/>
        <v>36289.6728</v>
      </c>
      <c r="H42" s="178">
        <f t="shared" si="32"/>
        <v>36289.6728</v>
      </c>
      <c r="I42" s="178">
        <f t="shared" si="32"/>
        <v>36289.6728</v>
      </c>
      <c r="J42" s="178">
        <f t="shared" si="32"/>
        <v>36289.6728</v>
      </c>
      <c r="K42" s="178">
        <f t="shared" si="32"/>
        <v>36289.6728</v>
      </c>
      <c r="L42" s="178">
        <f t="shared" si="32"/>
        <v>36289.6728</v>
      </c>
      <c r="M42" s="178">
        <f t="shared" si="32"/>
        <v>36289.6728</v>
      </c>
      <c r="N42" s="178">
        <f t="shared" si="32"/>
        <v>36289.6728</v>
      </c>
      <c r="O42" s="178">
        <f t="shared" si="32"/>
        <v>36289.6728</v>
      </c>
      <c r="P42" s="178">
        <f t="shared" si="32"/>
        <v>36289.6728</v>
      </c>
      <c r="Q42" s="178">
        <f t="shared" si="32"/>
        <v>36289.6728</v>
      </c>
      <c r="R42" s="179">
        <f t="shared" si="32"/>
        <v>36289.6728</v>
      </c>
    </row>
    <row r="43" spans="1:18" x14ac:dyDescent="0.25">
      <c r="A43" s="283"/>
      <c r="B43" s="31" t="s">
        <v>66</v>
      </c>
      <c r="C43" s="191" t="s">
        <v>18</v>
      </c>
      <c r="D43" s="193">
        <f>'Fuel Cost Declaration'!J9</f>
        <v>199161860.95019999</v>
      </c>
      <c r="E43" s="6">
        <f>D43*E$77</f>
        <v>201611551.83988744</v>
      </c>
      <c r="F43" s="6">
        <f t="shared" ref="F43:R43" si="33">E43*F$77</f>
        <v>204131696.23788601</v>
      </c>
      <c r="G43" s="6">
        <f t="shared" si="33"/>
        <v>208010198.46640584</v>
      </c>
      <c r="H43" s="6">
        <f t="shared" si="33"/>
        <v>213293657.50745258</v>
      </c>
      <c r="I43" s="6">
        <f t="shared" si="33"/>
        <v>220076395.81618959</v>
      </c>
      <c r="J43" s="6">
        <f t="shared" si="33"/>
        <v>228483314.13636804</v>
      </c>
      <c r="K43" s="6">
        <f t="shared" si="33"/>
        <v>238673669.94685003</v>
      </c>
      <c r="L43" s="6">
        <f t="shared" si="33"/>
        <v>250869894.48113406</v>
      </c>
      <c r="M43" s="6">
        <f t="shared" si="33"/>
        <v>265294913.41379929</v>
      </c>
      <c r="N43" s="6">
        <f t="shared" si="33"/>
        <v>281690139.0627721</v>
      </c>
      <c r="O43" s="6">
        <f t="shared" si="33"/>
        <v>300732392.4634155</v>
      </c>
      <c r="P43" s="6">
        <f t="shared" si="33"/>
        <v>322806150.07023019</v>
      </c>
      <c r="Q43" s="6">
        <f t="shared" si="33"/>
        <v>348372397.15579242</v>
      </c>
      <c r="R43" s="35">
        <f t="shared" si="33"/>
        <v>377984050.91403478</v>
      </c>
    </row>
    <row r="44" spans="1:18" x14ac:dyDescent="0.25">
      <c r="A44" s="283"/>
      <c r="B44" s="31" t="s">
        <v>73</v>
      </c>
      <c r="C44" s="191" t="s">
        <v>18</v>
      </c>
      <c r="D44" s="193">
        <f>'Fuel Cost Declaration'!K9</f>
        <v>0</v>
      </c>
      <c r="E44" s="6">
        <f>D44*E$77</f>
        <v>0</v>
      </c>
      <c r="F44" s="6">
        <f t="shared" ref="F44:R44" si="34">E44*F$77</f>
        <v>0</v>
      </c>
      <c r="G44" s="6">
        <f t="shared" si="34"/>
        <v>0</v>
      </c>
      <c r="H44" s="6">
        <f t="shared" si="34"/>
        <v>0</v>
      </c>
      <c r="I44" s="6">
        <f t="shared" si="34"/>
        <v>0</v>
      </c>
      <c r="J44" s="6">
        <f t="shared" si="34"/>
        <v>0</v>
      </c>
      <c r="K44" s="6">
        <f t="shared" si="34"/>
        <v>0</v>
      </c>
      <c r="L44" s="6">
        <f t="shared" si="34"/>
        <v>0</v>
      </c>
      <c r="M44" s="6">
        <f t="shared" si="34"/>
        <v>0</v>
      </c>
      <c r="N44" s="6">
        <f t="shared" si="34"/>
        <v>0</v>
      </c>
      <c r="O44" s="6">
        <f t="shared" si="34"/>
        <v>0</v>
      </c>
      <c r="P44" s="6">
        <f t="shared" si="34"/>
        <v>0</v>
      </c>
      <c r="Q44" s="6">
        <f t="shared" si="34"/>
        <v>0</v>
      </c>
      <c r="R44" s="35">
        <f t="shared" si="34"/>
        <v>0</v>
      </c>
    </row>
    <row r="45" spans="1:18" x14ac:dyDescent="0.25">
      <c r="A45" s="283"/>
      <c r="B45" s="31" t="s">
        <v>67</v>
      </c>
      <c r="C45" s="191" t="s">
        <v>18</v>
      </c>
      <c r="D45" s="193">
        <f>+D43/D42</f>
        <v>5488.1139890079139</v>
      </c>
      <c r="E45" s="7">
        <f t="shared" ref="E45:R45" si="35">+E43/E42</f>
        <v>5555.617791072711</v>
      </c>
      <c r="F45" s="7">
        <f t="shared" si="35"/>
        <v>5625.0630134611192</v>
      </c>
      <c r="G45" s="7">
        <f t="shared" si="35"/>
        <v>5731.9392107168806</v>
      </c>
      <c r="H45" s="7">
        <f t="shared" si="35"/>
        <v>5877.5304666690899</v>
      </c>
      <c r="I45" s="7">
        <f t="shared" si="35"/>
        <v>6064.4359355091674</v>
      </c>
      <c r="J45" s="7">
        <f t="shared" si="35"/>
        <v>6296.0973882456174</v>
      </c>
      <c r="K45" s="7">
        <f t="shared" si="35"/>
        <v>6576.9033317613721</v>
      </c>
      <c r="L45" s="7">
        <f t="shared" si="35"/>
        <v>6912.9830920143777</v>
      </c>
      <c r="M45" s="7">
        <f t="shared" si="35"/>
        <v>7310.4796198052045</v>
      </c>
      <c r="N45" s="7">
        <f t="shared" si="35"/>
        <v>7762.2672603091669</v>
      </c>
      <c r="O45" s="7">
        <f t="shared" si="35"/>
        <v>8286.9965271060664</v>
      </c>
      <c r="P45" s="7">
        <f t="shared" si="35"/>
        <v>8895.2620721956519</v>
      </c>
      <c r="Q45" s="7">
        <f t="shared" si="35"/>
        <v>9599.7668283135481</v>
      </c>
      <c r="R45" s="37">
        <f t="shared" si="35"/>
        <v>10415.7470087202</v>
      </c>
    </row>
    <row r="46" spans="1:18" ht="14.4" thickBot="1" x14ac:dyDescent="0.3">
      <c r="A46" s="284"/>
      <c r="B46" s="32" t="s">
        <v>62</v>
      </c>
      <c r="C46" s="187" t="s">
        <v>68</v>
      </c>
      <c r="D46" s="195">
        <f>'Fuel Cost Declaration'!K19</f>
        <v>0.80111681089299158</v>
      </c>
      <c r="E46" s="34">
        <f>$D46</f>
        <v>0.80111681089299158</v>
      </c>
      <c r="F46" s="34">
        <f t="shared" ref="F46:R47" si="36">$D46</f>
        <v>0.80111681089299158</v>
      </c>
      <c r="G46" s="34">
        <f t="shared" si="36"/>
        <v>0.80111681089299158</v>
      </c>
      <c r="H46" s="34">
        <f t="shared" si="36"/>
        <v>0.80111681089299158</v>
      </c>
      <c r="I46" s="34">
        <f t="shared" si="36"/>
        <v>0.80111681089299158</v>
      </c>
      <c r="J46" s="34">
        <f t="shared" si="36"/>
        <v>0.80111681089299158</v>
      </c>
      <c r="K46" s="34">
        <f t="shared" si="36"/>
        <v>0.80111681089299158</v>
      </c>
      <c r="L46" s="34">
        <f t="shared" si="36"/>
        <v>0.80111681089299158</v>
      </c>
      <c r="M46" s="34">
        <f t="shared" si="36"/>
        <v>0.80111681089299158</v>
      </c>
      <c r="N46" s="34">
        <f t="shared" si="36"/>
        <v>0.80111681089299158</v>
      </c>
      <c r="O46" s="34">
        <f t="shared" si="36"/>
        <v>0.80111681089299158</v>
      </c>
      <c r="P46" s="34">
        <f t="shared" si="36"/>
        <v>0.80111681089299158</v>
      </c>
      <c r="Q46" s="34">
        <f t="shared" si="36"/>
        <v>0.80111681089299158</v>
      </c>
      <c r="R46" s="36">
        <f t="shared" si="36"/>
        <v>0.80111681089299158</v>
      </c>
    </row>
    <row r="47" spans="1:18" x14ac:dyDescent="0.25">
      <c r="A47" s="282" t="s">
        <v>69</v>
      </c>
      <c r="B47" s="175" t="s">
        <v>63</v>
      </c>
      <c r="C47" s="186" t="s">
        <v>164</v>
      </c>
      <c r="D47" s="192">
        <f>'Fuel Cost Declaration'!I10</f>
        <v>0</v>
      </c>
      <c r="E47" s="178">
        <f>$D47</f>
        <v>0</v>
      </c>
      <c r="F47" s="178">
        <f t="shared" si="36"/>
        <v>0</v>
      </c>
      <c r="G47" s="178">
        <f t="shared" si="36"/>
        <v>0</v>
      </c>
      <c r="H47" s="178">
        <f t="shared" si="36"/>
        <v>0</v>
      </c>
      <c r="I47" s="178">
        <f t="shared" si="36"/>
        <v>0</v>
      </c>
      <c r="J47" s="178">
        <f t="shared" si="36"/>
        <v>0</v>
      </c>
      <c r="K47" s="178">
        <f t="shared" si="36"/>
        <v>0</v>
      </c>
      <c r="L47" s="178">
        <f t="shared" si="36"/>
        <v>0</v>
      </c>
      <c r="M47" s="178">
        <f t="shared" si="36"/>
        <v>0</v>
      </c>
      <c r="N47" s="178">
        <f t="shared" si="36"/>
        <v>0</v>
      </c>
      <c r="O47" s="178">
        <f t="shared" si="36"/>
        <v>0</v>
      </c>
      <c r="P47" s="178">
        <f t="shared" si="36"/>
        <v>0</v>
      </c>
      <c r="Q47" s="178">
        <f t="shared" si="36"/>
        <v>0</v>
      </c>
      <c r="R47" s="179">
        <f t="shared" si="36"/>
        <v>0</v>
      </c>
    </row>
    <row r="48" spans="1:18" x14ac:dyDescent="0.25">
      <c r="A48" s="283"/>
      <c r="B48" s="31" t="s">
        <v>66</v>
      </c>
      <c r="C48" s="191" t="s">
        <v>18</v>
      </c>
      <c r="D48" s="193">
        <f>'Fuel Cost Declaration'!J10</f>
        <v>0</v>
      </c>
      <c r="E48" s="6">
        <f>D48*E$77</f>
        <v>0</v>
      </c>
      <c r="F48" s="6">
        <f t="shared" ref="F48:R48" si="37">E48*F$77</f>
        <v>0</v>
      </c>
      <c r="G48" s="6">
        <f t="shared" si="37"/>
        <v>0</v>
      </c>
      <c r="H48" s="6">
        <f t="shared" si="37"/>
        <v>0</v>
      </c>
      <c r="I48" s="6">
        <f t="shared" si="37"/>
        <v>0</v>
      </c>
      <c r="J48" s="6">
        <f t="shared" si="37"/>
        <v>0</v>
      </c>
      <c r="K48" s="6">
        <f t="shared" si="37"/>
        <v>0</v>
      </c>
      <c r="L48" s="6">
        <f t="shared" si="37"/>
        <v>0</v>
      </c>
      <c r="M48" s="6">
        <f t="shared" si="37"/>
        <v>0</v>
      </c>
      <c r="N48" s="6">
        <f t="shared" si="37"/>
        <v>0</v>
      </c>
      <c r="O48" s="6">
        <f t="shared" si="37"/>
        <v>0</v>
      </c>
      <c r="P48" s="6">
        <f t="shared" si="37"/>
        <v>0</v>
      </c>
      <c r="Q48" s="6">
        <f t="shared" si="37"/>
        <v>0</v>
      </c>
      <c r="R48" s="35">
        <f t="shared" si="37"/>
        <v>0</v>
      </c>
    </row>
    <row r="49" spans="1:18" x14ac:dyDescent="0.25">
      <c r="A49" s="283"/>
      <c r="B49" s="31" t="s">
        <v>73</v>
      </c>
      <c r="C49" s="191" t="s">
        <v>18</v>
      </c>
      <c r="D49" s="193">
        <f>'Fuel Cost Declaration'!K10</f>
        <v>0</v>
      </c>
      <c r="E49" s="6">
        <f>D49*E$77</f>
        <v>0</v>
      </c>
      <c r="F49" s="6">
        <f t="shared" ref="F49:R49" si="38">E49*F$77</f>
        <v>0</v>
      </c>
      <c r="G49" s="6">
        <f t="shared" si="38"/>
        <v>0</v>
      </c>
      <c r="H49" s="6">
        <f t="shared" si="38"/>
        <v>0</v>
      </c>
      <c r="I49" s="6">
        <f t="shared" si="38"/>
        <v>0</v>
      </c>
      <c r="J49" s="6">
        <f t="shared" si="38"/>
        <v>0</v>
      </c>
      <c r="K49" s="6">
        <f t="shared" si="38"/>
        <v>0</v>
      </c>
      <c r="L49" s="6">
        <f t="shared" si="38"/>
        <v>0</v>
      </c>
      <c r="M49" s="6">
        <f t="shared" si="38"/>
        <v>0</v>
      </c>
      <c r="N49" s="6">
        <f t="shared" si="38"/>
        <v>0</v>
      </c>
      <c r="O49" s="6">
        <f t="shared" si="38"/>
        <v>0</v>
      </c>
      <c r="P49" s="6">
        <f t="shared" si="38"/>
        <v>0</v>
      </c>
      <c r="Q49" s="6">
        <f t="shared" si="38"/>
        <v>0</v>
      </c>
      <c r="R49" s="35">
        <f t="shared" si="38"/>
        <v>0</v>
      </c>
    </row>
    <row r="50" spans="1:18" x14ac:dyDescent="0.25">
      <c r="A50" s="283"/>
      <c r="B50" s="31" t="s">
        <v>67</v>
      </c>
      <c r="C50" s="191" t="s">
        <v>18</v>
      </c>
      <c r="D50" s="193" t="e">
        <f>+D48/D47</f>
        <v>#DIV/0!</v>
      </c>
      <c r="E50" s="7" t="e">
        <f t="shared" ref="E50:R50" si="39">+E48/E47</f>
        <v>#DIV/0!</v>
      </c>
      <c r="F50" s="7" t="e">
        <f t="shared" si="39"/>
        <v>#DIV/0!</v>
      </c>
      <c r="G50" s="7" t="e">
        <f t="shared" si="39"/>
        <v>#DIV/0!</v>
      </c>
      <c r="H50" s="7" t="e">
        <f t="shared" si="39"/>
        <v>#DIV/0!</v>
      </c>
      <c r="I50" s="7" t="e">
        <f t="shared" si="39"/>
        <v>#DIV/0!</v>
      </c>
      <c r="J50" s="7" t="e">
        <f t="shared" si="39"/>
        <v>#DIV/0!</v>
      </c>
      <c r="K50" s="7" t="e">
        <f t="shared" si="39"/>
        <v>#DIV/0!</v>
      </c>
      <c r="L50" s="7" t="e">
        <f t="shared" si="39"/>
        <v>#DIV/0!</v>
      </c>
      <c r="M50" s="7" t="e">
        <f t="shared" si="39"/>
        <v>#DIV/0!</v>
      </c>
      <c r="N50" s="7" t="e">
        <f t="shared" si="39"/>
        <v>#DIV/0!</v>
      </c>
      <c r="O50" s="7" t="e">
        <f t="shared" si="39"/>
        <v>#DIV/0!</v>
      </c>
      <c r="P50" s="7" t="e">
        <f t="shared" si="39"/>
        <v>#DIV/0!</v>
      </c>
      <c r="Q50" s="7" t="e">
        <f t="shared" si="39"/>
        <v>#DIV/0!</v>
      </c>
      <c r="R50" s="37" t="e">
        <f t="shared" si="39"/>
        <v>#DIV/0!</v>
      </c>
    </row>
    <row r="51" spans="1:18" ht="14.4" thickBot="1" x14ac:dyDescent="0.3">
      <c r="A51" s="284"/>
      <c r="B51" s="32" t="s">
        <v>62</v>
      </c>
      <c r="C51" s="187" t="s">
        <v>68</v>
      </c>
      <c r="D51" s="195">
        <f>'Fuel Cost Declaration'!K19</f>
        <v>0.80111681089299158</v>
      </c>
      <c r="E51" s="34">
        <f>$D51</f>
        <v>0.80111681089299158</v>
      </c>
      <c r="F51" s="34">
        <f t="shared" ref="F51:R52" si="40">$D51</f>
        <v>0.80111681089299158</v>
      </c>
      <c r="G51" s="34">
        <f t="shared" si="40"/>
        <v>0.80111681089299158</v>
      </c>
      <c r="H51" s="34">
        <f t="shared" si="40"/>
        <v>0.80111681089299158</v>
      </c>
      <c r="I51" s="34">
        <f t="shared" si="40"/>
        <v>0.80111681089299158</v>
      </c>
      <c r="J51" s="34">
        <f t="shared" si="40"/>
        <v>0.80111681089299158</v>
      </c>
      <c r="K51" s="34">
        <f t="shared" si="40"/>
        <v>0.80111681089299158</v>
      </c>
      <c r="L51" s="34">
        <f t="shared" si="40"/>
        <v>0.80111681089299158</v>
      </c>
      <c r="M51" s="34">
        <f t="shared" si="40"/>
        <v>0.80111681089299158</v>
      </c>
      <c r="N51" s="34">
        <f t="shared" si="40"/>
        <v>0.80111681089299158</v>
      </c>
      <c r="O51" s="34">
        <f t="shared" si="40"/>
        <v>0.80111681089299158</v>
      </c>
      <c r="P51" s="34">
        <f t="shared" si="40"/>
        <v>0.80111681089299158</v>
      </c>
      <c r="Q51" s="34">
        <f t="shared" si="40"/>
        <v>0.80111681089299158</v>
      </c>
      <c r="R51" s="36">
        <f t="shared" si="40"/>
        <v>0.80111681089299158</v>
      </c>
    </row>
    <row r="52" spans="1:18" x14ac:dyDescent="0.25">
      <c r="A52" s="282" t="s">
        <v>70</v>
      </c>
      <c r="B52" s="175" t="s">
        <v>63</v>
      </c>
      <c r="C52" s="186" t="s">
        <v>164</v>
      </c>
      <c r="D52" s="192">
        <f>'Fuel Cost Declaration'!I11</f>
        <v>0</v>
      </c>
      <c r="E52" s="178">
        <f>$D52</f>
        <v>0</v>
      </c>
      <c r="F52" s="178">
        <f t="shared" si="40"/>
        <v>0</v>
      </c>
      <c r="G52" s="178">
        <f t="shared" si="40"/>
        <v>0</v>
      </c>
      <c r="H52" s="178">
        <f t="shared" si="40"/>
        <v>0</v>
      </c>
      <c r="I52" s="178">
        <f t="shared" si="40"/>
        <v>0</v>
      </c>
      <c r="J52" s="178">
        <f t="shared" si="40"/>
        <v>0</v>
      </c>
      <c r="K52" s="178">
        <f t="shared" si="40"/>
        <v>0</v>
      </c>
      <c r="L52" s="178">
        <f t="shared" si="40"/>
        <v>0</v>
      </c>
      <c r="M52" s="178">
        <f t="shared" si="40"/>
        <v>0</v>
      </c>
      <c r="N52" s="178">
        <f t="shared" si="40"/>
        <v>0</v>
      </c>
      <c r="O52" s="178">
        <f t="shared" si="40"/>
        <v>0</v>
      </c>
      <c r="P52" s="178">
        <f t="shared" si="40"/>
        <v>0</v>
      </c>
      <c r="Q52" s="178">
        <f t="shared" si="40"/>
        <v>0</v>
      </c>
      <c r="R52" s="179">
        <f t="shared" si="40"/>
        <v>0</v>
      </c>
    </row>
    <row r="53" spans="1:18" x14ac:dyDescent="0.25">
      <c r="A53" s="283"/>
      <c r="B53" s="31" t="s">
        <v>66</v>
      </c>
      <c r="C53" s="191" t="s">
        <v>18</v>
      </c>
      <c r="D53" s="193">
        <f>'Fuel Cost Declaration'!J11</f>
        <v>0</v>
      </c>
      <c r="E53" s="6">
        <f>D53*E$77</f>
        <v>0</v>
      </c>
      <c r="F53" s="6">
        <f t="shared" ref="F53:R53" si="41">E53*F$77</f>
        <v>0</v>
      </c>
      <c r="G53" s="6">
        <f t="shared" si="41"/>
        <v>0</v>
      </c>
      <c r="H53" s="6">
        <f t="shared" si="41"/>
        <v>0</v>
      </c>
      <c r="I53" s="6">
        <f t="shared" si="41"/>
        <v>0</v>
      </c>
      <c r="J53" s="6">
        <f t="shared" si="41"/>
        <v>0</v>
      </c>
      <c r="K53" s="6">
        <f t="shared" si="41"/>
        <v>0</v>
      </c>
      <c r="L53" s="6">
        <f t="shared" si="41"/>
        <v>0</v>
      </c>
      <c r="M53" s="6">
        <f t="shared" si="41"/>
        <v>0</v>
      </c>
      <c r="N53" s="6">
        <f t="shared" si="41"/>
        <v>0</v>
      </c>
      <c r="O53" s="6">
        <f t="shared" si="41"/>
        <v>0</v>
      </c>
      <c r="P53" s="6">
        <f t="shared" si="41"/>
        <v>0</v>
      </c>
      <c r="Q53" s="6">
        <f t="shared" si="41"/>
        <v>0</v>
      </c>
      <c r="R53" s="35">
        <f t="shared" si="41"/>
        <v>0</v>
      </c>
    </row>
    <row r="54" spans="1:18" x14ac:dyDescent="0.25">
      <c r="A54" s="283"/>
      <c r="B54" s="31" t="s">
        <v>73</v>
      </c>
      <c r="C54" s="191" t="s">
        <v>18</v>
      </c>
      <c r="D54" s="193">
        <f>'Fuel Cost Declaration'!K11</f>
        <v>0</v>
      </c>
      <c r="E54" s="6">
        <f>D54*E$77</f>
        <v>0</v>
      </c>
      <c r="F54" s="6">
        <f t="shared" ref="F54:R54" si="42">E54*F$77</f>
        <v>0</v>
      </c>
      <c r="G54" s="6">
        <f t="shared" si="42"/>
        <v>0</v>
      </c>
      <c r="H54" s="6">
        <f t="shared" si="42"/>
        <v>0</v>
      </c>
      <c r="I54" s="6">
        <f t="shared" si="42"/>
        <v>0</v>
      </c>
      <c r="J54" s="6">
        <f t="shared" si="42"/>
        <v>0</v>
      </c>
      <c r="K54" s="6">
        <f t="shared" si="42"/>
        <v>0</v>
      </c>
      <c r="L54" s="6">
        <f t="shared" si="42"/>
        <v>0</v>
      </c>
      <c r="M54" s="6">
        <f t="shared" si="42"/>
        <v>0</v>
      </c>
      <c r="N54" s="6">
        <f t="shared" si="42"/>
        <v>0</v>
      </c>
      <c r="O54" s="6">
        <f t="shared" si="42"/>
        <v>0</v>
      </c>
      <c r="P54" s="6">
        <f t="shared" si="42"/>
        <v>0</v>
      </c>
      <c r="Q54" s="6">
        <f t="shared" si="42"/>
        <v>0</v>
      </c>
      <c r="R54" s="35">
        <f t="shared" si="42"/>
        <v>0</v>
      </c>
    </row>
    <row r="55" spans="1:18" x14ac:dyDescent="0.25">
      <c r="A55" s="283"/>
      <c r="B55" s="31" t="s">
        <v>67</v>
      </c>
      <c r="C55" s="191" t="s">
        <v>18</v>
      </c>
      <c r="D55" s="193" t="e">
        <f>+D53/D52</f>
        <v>#DIV/0!</v>
      </c>
      <c r="E55" s="7" t="e">
        <f t="shared" ref="E55:R55" si="43">+E53/E52</f>
        <v>#DIV/0!</v>
      </c>
      <c r="F55" s="7" t="e">
        <f t="shared" si="43"/>
        <v>#DIV/0!</v>
      </c>
      <c r="G55" s="7" t="e">
        <f t="shared" si="43"/>
        <v>#DIV/0!</v>
      </c>
      <c r="H55" s="7" t="e">
        <f t="shared" si="43"/>
        <v>#DIV/0!</v>
      </c>
      <c r="I55" s="7" t="e">
        <f t="shared" si="43"/>
        <v>#DIV/0!</v>
      </c>
      <c r="J55" s="7" t="e">
        <f t="shared" si="43"/>
        <v>#DIV/0!</v>
      </c>
      <c r="K55" s="7" t="e">
        <f t="shared" si="43"/>
        <v>#DIV/0!</v>
      </c>
      <c r="L55" s="7" t="e">
        <f t="shared" si="43"/>
        <v>#DIV/0!</v>
      </c>
      <c r="M55" s="7" t="e">
        <f t="shared" si="43"/>
        <v>#DIV/0!</v>
      </c>
      <c r="N55" s="7" t="e">
        <f t="shared" si="43"/>
        <v>#DIV/0!</v>
      </c>
      <c r="O55" s="7" t="e">
        <f t="shared" si="43"/>
        <v>#DIV/0!</v>
      </c>
      <c r="P55" s="7" t="e">
        <f t="shared" si="43"/>
        <v>#DIV/0!</v>
      </c>
      <c r="Q55" s="7" t="e">
        <f t="shared" si="43"/>
        <v>#DIV/0!</v>
      </c>
      <c r="R55" s="37" t="e">
        <f t="shared" si="43"/>
        <v>#DIV/0!</v>
      </c>
    </row>
    <row r="56" spans="1:18" ht="14.4" thickBot="1" x14ac:dyDescent="0.3">
      <c r="A56" s="284"/>
      <c r="B56" s="32" t="s">
        <v>62</v>
      </c>
      <c r="C56" s="187" t="s">
        <v>68</v>
      </c>
      <c r="D56" s="195">
        <f>'Fuel Cost Declaration'!K19</f>
        <v>0.80111681089299158</v>
      </c>
      <c r="E56" s="34">
        <f>$D56</f>
        <v>0.80111681089299158</v>
      </c>
      <c r="F56" s="34">
        <f t="shared" ref="F56:R57" si="44">$D56</f>
        <v>0.80111681089299158</v>
      </c>
      <c r="G56" s="34">
        <f t="shared" si="44"/>
        <v>0.80111681089299158</v>
      </c>
      <c r="H56" s="34">
        <f t="shared" si="44"/>
        <v>0.80111681089299158</v>
      </c>
      <c r="I56" s="34">
        <f t="shared" si="44"/>
        <v>0.80111681089299158</v>
      </c>
      <c r="J56" s="34">
        <f t="shared" si="44"/>
        <v>0.80111681089299158</v>
      </c>
      <c r="K56" s="34">
        <f t="shared" si="44"/>
        <v>0.80111681089299158</v>
      </c>
      <c r="L56" s="34">
        <f t="shared" si="44"/>
        <v>0.80111681089299158</v>
      </c>
      <c r="M56" s="34">
        <f t="shared" si="44"/>
        <v>0.80111681089299158</v>
      </c>
      <c r="N56" s="34">
        <f t="shared" si="44"/>
        <v>0.80111681089299158</v>
      </c>
      <c r="O56" s="34">
        <f t="shared" si="44"/>
        <v>0.80111681089299158</v>
      </c>
      <c r="P56" s="34">
        <f t="shared" si="44"/>
        <v>0.80111681089299158</v>
      </c>
      <c r="Q56" s="34">
        <f t="shared" si="44"/>
        <v>0.80111681089299158</v>
      </c>
      <c r="R56" s="36">
        <f t="shared" si="44"/>
        <v>0.80111681089299158</v>
      </c>
    </row>
    <row r="57" spans="1:18" x14ac:dyDescent="0.25">
      <c r="A57" s="282" t="s">
        <v>71</v>
      </c>
      <c r="B57" s="175" t="s">
        <v>63</v>
      </c>
      <c r="C57" s="186" t="s">
        <v>164</v>
      </c>
      <c r="D57" s="192">
        <f>'Fuel Cost Declaration'!I12</f>
        <v>0</v>
      </c>
      <c r="E57" s="178">
        <f>$D57</f>
        <v>0</v>
      </c>
      <c r="F57" s="178">
        <f t="shared" si="44"/>
        <v>0</v>
      </c>
      <c r="G57" s="178">
        <f t="shared" si="44"/>
        <v>0</v>
      </c>
      <c r="H57" s="178">
        <f t="shared" si="44"/>
        <v>0</v>
      </c>
      <c r="I57" s="178">
        <f t="shared" si="44"/>
        <v>0</v>
      </c>
      <c r="J57" s="178">
        <f t="shared" si="44"/>
        <v>0</v>
      </c>
      <c r="K57" s="178">
        <f t="shared" si="44"/>
        <v>0</v>
      </c>
      <c r="L57" s="178">
        <f t="shared" si="44"/>
        <v>0</v>
      </c>
      <c r="M57" s="178">
        <f t="shared" si="44"/>
        <v>0</v>
      </c>
      <c r="N57" s="178">
        <f t="shared" si="44"/>
        <v>0</v>
      </c>
      <c r="O57" s="178">
        <f t="shared" si="44"/>
        <v>0</v>
      </c>
      <c r="P57" s="178">
        <f t="shared" si="44"/>
        <v>0</v>
      </c>
      <c r="Q57" s="178">
        <f t="shared" si="44"/>
        <v>0</v>
      </c>
      <c r="R57" s="179">
        <f t="shared" si="44"/>
        <v>0</v>
      </c>
    </row>
    <row r="58" spans="1:18" x14ac:dyDescent="0.25">
      <c r="A58" s="283"/>
      <c r="B58" s="31" t="s">
        <v>66</v>
      </c>
      <c r="C58" s="191" t="s">
        <v>18</v>
      </c>
      <c r="D58" s="193">
        <f>'Fuel Cost Declaration'!J12</f>
        <v>0</v>
      </c>
      <c r="E58" s="6">
        <f>D58*E$77</f>
        <v>0</v>
      </c>
      <c r="F58" s="6">
        <f t="shared" ref="F58:R58" si="45">E58*F$77</f>
        <v>0</v>
      </c>
      <c r="G58" s="6">
        <f t="shared" si="45"/>
        <v>0</v>
      </c>
      <c r="H58" s="6">
        <f t="shared" si="45"/>
        <v>0</v>
      </c>
      <c r="I58" s="6">
        <f t="shared" si="45"/>
        <v>0</v>
      </c>
      <c r="J58" s="6">
        <f t="shared" si="45"/>
        <v>0</v>
      </c>
      <c r="K58" s="6">
        <f t="shared" si="45"/>
        <v>0</v>
      </c>
      <c r="L58" s="6">
        <f t="shared" si="45"/>
        <v>0</v>
      </c>
      <c r="M58" s="6">
        <f t="shared" si="45"/>
        <v>0</v>
      </c>
      <c r="N58" s="6">
        <f t="shared" si="45"/>
        <v>0</v>
      </c>
      <c r="O58" s="6">
        <f t="shared" si="45"/>
        <v>0</v>
      </c>
      <c r="P58" s="6">
        <f t="shared" si="45"/>
        <v>0</v>
      </c>
      <c r="Q58" s="6">
        <f t="shared" si="45"/>
        <v>0</v>
      </c>
      <c r="R58" s="35">
        <f t="shared" si="45"/>
        <v>0</v>
      </c>
    </row>
    <row r="59" spans="1:18" x14ac:dyDescent="0.25">
      <c r="A59" s="283"/>
      <c r="B59" s="31" t="s">
        <v>73</v>
      </c>
      <c r="C59" s="191" t="s">
        <v>18</v>
      </c>
      <c r="D59" s="193">
        <f>'Fuel Cost Declaration'!K12</f>
        <v>0</v>
      </c>
      <c r="E59" s="6">
        <f>D59*E$77</f>
        <v>0</v>
      </c>
      <c r="F59" s="6">
        <f t="shared" ref="F59:R59" si="46">E59*F$77</f>
        <v>0</v>
      </c>
      <c r="G59" s="6">
        <f t="shared" si="46"/>
        <v>0</v>
      </c>
      <c r="H59" s="6">
        <f t="shared" si="46"/>
        <v>0</v>
      </c>
      <c r="I59" s="6">
        <f t="shared" si="46"/>
        <v>0</v>
      </c>
      <c r="J59" s="6">
        <f t="shared" si="46"/>
        <v>0</v>
      </c>
      <c r="K59" s="6">
        <f t="shared" si="46"/>
        <v>0</v>
      </c>
      <c r="L59" s="6">
        <f t="shared" si="46"/>
        <v>0</v>
      </c>
      <c r="M59" s="6">
        <f t="shared" si="46"/>
        <v>0</v>
      </c>
      <c r="N59" s="6">
        <f t="shared" si="46"/>
        <v>0</v>
      </c>
      <c r="O59" s="6">
        <f t="shared" si="46"/>
        <v>0</v>
      </c>
      <c r="P59" s="6">
        <f t="shared" si="46"/>
        <v>0</v>
      </c>
      <c r="Q59" s="6">
        <f t="shared" si="46"/>
        <v>0</v>
      </c>
      <c r="R59" s="35">
        <f t="shared" si="46"/>
        <v>0</v>
      </c>
    </row>
    <row r="60" spans="1:18" x14ac:dyDescent="0.25">
      <c r="A60" s="283"/>
      <c r="B60" s="31" t="s">
        <v>67</v>
      </c>
      <c r="C60" s="191" t="s">
        <v>18</v>
      </c>
      <c r="D60" s="193" t="e">
        <f>+D58/D57</f>
        <v>#DIV/0!</v>
      </c>
      <c r="E60" s="7" t="e">
        <f t="shared" ref="E60:R60" si="47">+E58/E57</f>
        <v>#DIV/0!</v>
      </c>
      <c r="F60" s="7" t="e">
        <f t="shared" si="47"/>
        <v>#DIV/0!</v>
      </c>
      <c r="G60" s="7" t="e">
        <f t="shared" si="47"/>
        <v>#DIV/0!</v>
      </c>
      <c r="H60" s="7" t="e">
        <f t="shared" si="47"/>
        <v>#DIV/0!</v>
      </c>
      <c r="I60" s="7" t="e">
        <f t="shared" si="47"/>
        <v>#DIV/0!</v>
      </c>
      <c r="J60" s="7" t="e">
        <f t="shared" si="47"/>
        <v>#DIV/0!</v>
      </c>
      <c r="K60" s="7" t="e">
        <f t="shared" si="47"/>
        <v>#DIV/0!</v>
      </c>
      <c r="L60" s="7" t="e">
        <f t="shared" si="47"/>
        <v>#DIV/0!</v>
      </c>
      <c r="M60" s="7" t="e">
        <f t="shared" si="47"/>
        <v>#DIV/0!</v>
      </c>
      <c r="N60" s="7" t="e">
        <f t="shared" si="47"/>
        <v>#DIV/0!</v>
      </c>
      <c r="O60" s="7" t="e">
        <f t="shared" si="47"/>
        <v>#DIV/0!</v>
      </c>
      <c r="P60" s="7" t="e">
        <f t="shared" si="47"/>
        <v>#DIV/0!</v>
      </c>
      <c r="Q60" s="7" t="e">
        <f t="shared" si="47"/>
        <v>#DIV/0!</v>
      </c>
      <c r="R60" s="37" t="e">
        <f t="shared" si="47"/>
        <v>#DIV/0!</v>
      </c>
    </row>
    <row r="61" spans="1:18" ht="14.4" thickBot="1" x14ac:dyDescent="0.3">
      <c r="A61" s="284"/>
      <c r="B61" s="32" t="s">
        <v>62</v>
      </c>
      <c r="C61" s="187" t="s">
        <v>68</v>
      </c>
      <c r="D61" s="195">
        <f>'Fuel Cost Declaration'!K19</f>
        <v>0.80111681089299158</v>
      </c>
      <c r="E61" s="34">
        <f>$D61</f>
        <v>0.80111681089299158</v>
      </c>
      <c r="F61" s="34">
        <f t="shared" ref="F61:R61" si="48">$D61</f>
        <v>0.80111681089299158</v>
      </c>
      <c r="G61" s="34">
        <f t="shared" si="48"/>
        <v>0.80111681089299158</v>
      </c>
      <c r="H61" s="34">
        <f t="shared" si="48"/>
        <v>0.80111681089299158</v>
      </c>
      <c r="I61" s="34">
        <f t="shared" si="48"/>
        <v>0.80111681089299158</v>
      </c>
      <c r="J61" s="34">
        <f t="shared" si="48"/>
        <v>0.80111681089299158</v>
      </c>
      <c r="K61" s="34">
        <f t="shared" si="48"/>
        <v>0.80111681089299158</v>
      </c>
      <c r="L61" s="34">
        <f t="shared" si="48"/>
        <v>0.80111681089299158</v>
      </c>
      <c r="M61" s="34">
        <f t="shared" si="48"/>
        <v>0.80111681089299158</v>
      </c>
      <c r="N61" s="34">
        <f t="shared" si="48"/>
        <v>0.80111681089299158</v>
      </c>
      <c r="O61" s="34">
        <f t="shared" si="48"/>
        <v>0.80111681089299158</v>
      </c>
      <c r="P61" s="34">
        <f t="shared" si="48"/>
        <v>0.80111681089299158</v>
      </c>
      <c r="Q61" s="34">
        <f t="shared" si="48"/>
        <v>0.80111681089299158</v>
      </c>
      <c r="R61" s="36">
        <f t="shared" si="48"/>
        <v>0.80111681089299158</v>
      </c>
    </row>
    <row r="62" spans="1:18" x14ac:dyDescent="0.25">
      <c r="A62" s="282" t="s">
        <v>72</v>
      </c>
      <c r="B62" s="175" t="s">
        <v>63</v>
      </c>
      <c r="C62" s="186" t="s">
        <v>164</v>
      </c>
      <c r="D62" s="196">
        <f>SUM(D27,D32,D37,D42,D47,D52,D57)</f>
        <v>127094.38279999999</v>
      </c>
      <c r="E62" s="176">
        <f t="shared" ref="E62:R62" si="49">SUM(E37,E42,E47,E52,E57)</f>
        <v>83524.032800000001</v>
      </c>
      <c r="F62" s="176">
        <f t="shared" si="49"/>
        <v>83524.032800000001</v>
      </c>
      <c r="G62" s="176">
        <f t="shared" si="49"/>
        <v>83524.032800000001</v>
      </c>
      <c r="H62" s="176">
        <f t="shared" si="49"/>
        <v>83524.032800000001</v>
      </c>
      <c r="I62" s="176">
        <f t="shared" si="49"/>
        <v>83524.032800000001</v>
      </c>
      <c r="J62" s="176">
        <f t="shared" si="49"/>
        <v>83524.032800000001</v>
      </c>
      <c r="K62" s="176">
        <f t="shared" si="49"/>
        <v>83524.032800000001</v>
      </c>
      <c r="L62" s="176">
        <f t="shared" si="49"/>
        <v>83524.032800000001</v>
      </c>
      <c r="M62" s="176">
        <f t="shared" si="49"/>
        <v>83524.032800000001</v>
      </c>
      <c r="N62" s="176">
        <f t="shared" si="49"/>
        <v>83524.032800000001</v>
      </c>
      <c r="O62" s="176">
        <f t="shared" si="49"/>
        <v>83524.032800000001</v>
      </c>
      <c r="P62" s="176">
        <f t="shared" si="49"/>
        <v>83524.032800000001</v>
      </c>
      <c r="Q62" s="176">
        <f t="shared" si="49"/>
        <v>83524.032800000001</v>
      </c>
      <c r="R62" s="177">
        <f t="shared" si="49"/>
        <v>83524.032800000001</v>
      </c>
    </row>
    <row r="63" spans="1:18" x14ac:dyDescent="0.25">
      <c r="A63" s="283"/>
      <c r="B63" s="31" t="s">
        <v>66</v>
      </c>
      <c r="C63" s="191" t="s">
        <v>18</v>
      </c>
      <c r="D63" s="197">
        <f>SUM(D28,D33,D38,D43,D48,D53,D58)</f>
        <v>702565583.22019994</v>
      </c>
      <c r="E63" s="7">
        <f t="shared" ref="E63:R64" si="50">SUM(E38,E43,E48,E53,E58)</f>
        <v>426610274.59702647</v>
      </c>
      <c r="F63" s="7">
        <f t="shared" si="50"/>
        <v>429175418.73957646</v>
      </c>
      <c r="G63" s="7">
        <f t="shared" si="50"/>
        <v>434516705.16435724</v>
      </c>
      <c r="H63" s="7">
        <f t="shared" si="50"/>
        <v>441249805.84827089</v>
      </c>
      <c r="I63" s="7">
        <f t="shared" si="50"/>
        <v>449491463.50638914</v>
      </c>
      <c r="J63" s="7">
        <f t="shared" si="50"/>
        <v>459366638.25978488</v>
      </c>
      <c r="K63" s="7">
        <f t="shared" si="50"/>
        <v>471034647.34465671</v>
      </c>
      <c r="L63" s="7">
        <f t="shared" si="50"/>
        <v>484741218.23202646</v>
      </c>
      <c r="M63" s="7">
        <f t="shared" si="50"/>
        <v>500663013.63669747</v>
      </c>
      <c r="N63" s="7">
        <f t="shared" si="50"/>
        <v>518070322.11662877</v>
      </c>
      <c r="O63" s="7">
        <f t="shared" si="50"/>
        <v>538483580.5789845</v>
      </c>
      <c r="P63" s="7">
        <f t="shared" si="50"/>
        <v>561936295.07686949</v>
      </c>
      <c r="Q63" s="7">
        <f t="shared" si="50"/>
        <v>588889497.00347018</v>
      </c>
      <c r="R63" s="37">
        <f t="shared" si="50"/>
        <v>619896149.94082916</v>
      </c>
    </row>
    <row r="64" spans="1:18" x14ac:dyDescent="0.25">
      <c r="A64" s="283"/>
      <c r="B64" s="31" t="s">
        <v>73</v>
      </c>
      <c r="C64" s="191" t="s">
        <v>18</v>
      </c>
      <c r="D64" s="197">
        <f>SUM(D29,D34,D39,D44,D49,D54,D59)</f>
        <v>0</v>
      </c>
      <c r="E64" s="7">
        <f t="shared" si="50"/>
        <v>0</v>
      </c>
      <c r="F64" s="7">
        <f t="shared" si="50"/>
        <v>0</v>
      </c>
      <c r="G64" s="7">
        <f t="shared" si="50"/>
        <v>0</v>
      </c>
      <c r="H64" s="7">
        <f t="shared" si="50"/>
        <v>0</v>
      </c>
      <c r="I64" s="7">
        <f t="shared" si="50"/>
        <v>0</v>
      </c>
      <c r="J64" s="7">
        <f t="shared" si="50"/>
        <v>0</v>
      </c>
      <c r="K64" s="7">
        <f t="shared" si="50"/>
        <v>0</v>
      </c>
      <c r="L64" s="7">
        <f t="shared" si="50"/>
        <v>0</v>
      </c>
      <c r="M64" s="7">
        <f t="shared" si="50"/>
        <v>0</v>
      </c>
      <c r="N64" s="7">
        <f t="shared" si="50"/>
        <v>0</v>
      </c>
      <c r="O64" s="7">
        <f t="shared" si="50"/>
        <v>0</v>
      </c>
      <c r="P64" s="7">
        <f t="shared" si="50"/>
        <v>0</v>
      </c>
      <c r="Q64" s="7">
        <f t="shared" si="50"/>
        <v>0</v>
      </c>
      <c r="R64" s="37">
        <f t="shared" si="50"/>
        <v>0</v>
      </c>
    </row>
    <row r="65" spans="1:19" x14ac:dyDescent="0.25">
      <c r="A65" s="283"/>
      <c r="B65" s="31" t="s">
        <v>67</v>
      </c>
      <c r="C65" s="191" t="s">
        <v>18</v>
      </c>
      <c r="D65" s="197">
        <f>+D63/D62</f>
        <v>5527.9042845330214</v>
      </c>
      <c r="E65" s="7">
        <f t="shared" ref="E65" si="51">+E63/E62</f>
        <v>5107.6350158828354</v>
      </c>
      <c r="F65" s="7">
        <f t="shared" ref="F65" si="52">+F63/F62</f>
        <v>5138.3464657082086</v>
      </c>
      <c r="G65" s="7">
        <f t="shared" ref="G65" si="53">+G63/G62</f>
        <v>5202.2955621026631</v>
      </c>
      <c r="H65" s="7">
        <f t="shared" ref="H65" si="54">+H63/H62</f>
        <v>5282.9082966438236</v>
      </c>
      <c r="I65" s="7">
        <f t="shared" ref="I65" si="55">+I63/I62</f>
        <v>5381.5823833926415</v>
      </c>
      <c r="J65" s="7">
        <f t="shared" ref="J65" si="56">+J63/J62</f>
        <v>5499.813920141376</v>
      </c>
      <c r="K65" s="7">
        <f t="shared" ref="K65" si="57">+K63/K62</f>
        <v>5639.5103487466749</v>
      </c>
      <c r="L65" s="7">
        <f t="shared" ref="L65" si="58">+L63/L62</f>
        <v>5803.6136664132246</v>
      </c>
      <c r="M65" s="7">
        <f t="shared" ref="M65" si="59">+M63/M62</f>
        <v>5994.2389855090605</v>
      </c>
      <c r="N65" s="7">
        <f t="shared" ref="N65" si="60">+N63/N62</f>
        <v>6202.6497613825559</v>
      </c>
      <c r="O65" s="7">
        <f t="shared" ref="O65" si="61">+O63/O62</f>
        <v>6447.0495799501732</v>
      </c>
      <c r="P65" s="7">
        <f t="shared" ref="P65" si="62">+P63/P62</f>
        <v>6727.8395958494657</v>
      </c>
      <c r="Q65" s="7">
        <f t="shared" ref="Q65" si="63">+Q63/Q62</f>
        <v>7050.5395544486946</v>
      </c>
      <c r="R65" s="37">
        <f t="shared" ref="R65" si="64">+R63/R62</f>
        <v>7421.7698686219228</v>
      </c>
    </row>
    <row r="66" spans="1:19" ht="14.4" thickBot="1" x14ac:dyDescent="0.3">
      <c r="A66" s="284"/>
      <c r="B66" s="32" t="s">
        <v>62</v>
      </c>
      <c r="C66" s="187" t="s">
        <v>68</v>
      </c>
      <c r="D66" s="198">
        <f>'Fuel Cost Declaration'!K19</f>
        <v>0.80111681089299158</v>
      </c>
      <c r="E66" s="182">
        <f>+D66</f>
        <v>0.80111681089299158</v>
      </c>
      <c r="F66" s="182">
        <f t="shared" ref="F66:R66" si="65">+E66</f>
        <v>0.80111681089299158</v>
      </c>
      <c r="G66" s="182">
        <f t="shared" si="65"/>
        <v>0.80111681089299158</v>
      </c>
      <c r="H66" s="182">
        <f t="shared" si="65"/>
        <v>0.80111681089299158</v>
      </c>
      <c r="I66" s="182">
        <f t="shared" si="65"/>
        <v>0.80111681089299158</v>
      </c>
      <c r="J66" s="182">
        <f t="shared" si="65"/>
        <v>0.80111681089299158</v>
      </c>
      <c r="K66" s="182">
        <f t="shared" si="65"/>
        <v>0.80111681089299158</v>
      </c>
      <c r="L66" s="182">
        <f t="shared" si="65"/>
        <v>0.80111681089299158</v>
      </c>
      <c r="M66" s="182">
        <f t="shared" si="65"/>
        <v>0.80111681089299158</v>
      </c>
      <c r="N66" s="182">
        <f t="shared" si="65"/>
        <v>0.80111681089299158</v>
      </c>
      <c r="O66" s="182">
        <f t="shared" si="65"/>
        <v>0.80111681089299158</v>
      </c>
      <c r="P66" s="182">
        <f t="shared" si="65"/>
        <v>0.80111681089299158</v>
      </c>
      <c r="Q66" s="182">
        <f t="shared" si="65"/>
        <v>0.80111681089299158</v>
      </c>
      <c r="R66" s="183">
        <f t="shared" si="65"/>
        <v>0.80111681089299158</v>
      </c>
    </row>
    <row r="67" spans="1:19" s="3" customFormat="1" ht="14.4" thickBot="1" x14ac:dyDescent="0.3">
      <c r="A67" s="310" t="s">
        <v>74</v>
      </c>
      <c r="B67" s="311"/>
      <c r="C67" s="200" t="s">
        <v>15</v>
      </c>
      <c r="D67" s="199">
        <f>IFERROR(((((D63+D64)/D62)/1000)*D66),0)</f>
        <v>4.4284970513467989</v>
      </c>
      <c r="E67" s="180">
        <f t="shared" ref="E67:R67" si="66">IFERROR(((((E63+E64)/E62)/1000)*E66),0)</f>
        <v>4.0918122751294321</v>
      </c>
      <c r="F67" s="180">
        <f t="shared" si="66"/>
        <v>4.1164157338714347</v>
      </c>
      <c r="G67" s="180">
        <f t="shared" si="66"/>
        <v>4.1676464300344485</v>
      </c>
      <c r="H67" s="180">
        <f t="shared" si="66"/>
        <v>4.2322266468474261</v>
      </c>
      <c r="I67" s="180">
        <f t="shared" si="66"/>
        <v>4.3112761165414177</v>
      </c>
      <c r="J67" s="180">
        <f t="shared" si="66"/>
        <v>4.4059933882085414</v>
      </c>
      <c r="K67" s="180">
        <f t="shared" si="66"/>
        <v>4.5179065455859586</v>
      </c>
      <c r="L67" s="180">
        <f t="shared" si="66"/>
        <v>4.6493724720919447</v>
      </c>
      <c r="M67" s="180">
        <f t="shared" si="66"/>
        <v>4.8020856198014599</v>
      </c>
      <c r="N67" s="180">
        <f t="shared" si="66"/>
        <v>4.9690469959249688</v>
      </c>
      <c r="O67" s="180">
        <f t="shared" si="66"/>
        <v>5.1648397991586839</v>
      </c>
      <c r="P67" s="180">
        <f t="shared" si="66"/>
        <v>5.3897854012265176</v>
      </c>
      <c r="Q67" s="180">
        <f t="shared" si="66"/>
        <v>5.6483057629348323</v>
      </c>
      <c r="R67" s="181">
        <f t="shared" si="66"/>
        <v>5.9457046083320924</v>
      </c>
      <c r="S67" s="4"/>
    </row>
    <row r="68" spans="1:19" x14ac:dyDescent="0.25">
      <c r="A68" s="8"/>
      <c r="B68" s="8"/>
    </row>
    <row r="69" spans="1:19" ht="14.4" thickBot="1" x14ac:dyDescent="0.3"/>
    <row r="70" spans="1:19" s="3" customFormat="1" x14ac:dyDescent="0.25">
      <c r="A70" s="279" t="s">
        <v>59</v>
      </c>
      <c r="B70" s="280"/>
      <c r="C70" s="299"/>
      <c r="D70" s="316" t="s">
        <v>36</v>
      </c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8"/>
      <c r="S70" s="28"/>
    </row>
    <row r="71" spans="1:19" s="5" customFormat="1" ht="28.2" thickBot="1" x14ac:dyDescent="0.35">
      <c r="A71" s="319" t="s">
        <v>7</v>
      </c>
      <c r="B71" s="320"/>
      <c r="C71" s="321"/>
      <c r="D71" s="154" t="s">
        <v>20</v>
      </c>
      <c r="E71" s="19" t="s">
        <v>21</v>
      </c>
      <c r="F71" s="19" t="s">
        <v>22</v>
      </c>
      <c r="G71" s="19" t="s">
        <v>23</v>
      </c>
      <c r="H71" s="19" t="s">
        <v>24</v>
      </c>
      <c r="I71" s="19" t="s">
        <v>25</v>
      </c>
      <c r="J71" s="19" t="s">
        <v>26</v>
      </c>
      <c r="K71" s="19" t="s">
        <v>27</v>
      </c>
      <c r="L71" s="19" t="s">
        <v>28</v>
      </c>
      <c r="M71" s="19" t="s">
        <v>29</v>
      </c>
      <c r="N71" s="19" t="s">
        <v>30</v>
      </c>
      <c r="O71" s="19" t="s">
        <v>31</v>
      </c>
      <c r="P71" s="19" t="s">
        <v>32</v>
      </c>
      <c r="Q71" s="19" t="s">
        <v>33</v>
      </c>
      <c r="R71" s="20" t="s">
        <v>34</v>
      </c>
      <c r="S71" s="29" t="s">
        <v>37</v>
      </c>
    </row>
    <row r="72" spans="1:19" x14ac:dyDescent="0.25">
      <c r="A72" s="51" t="s">
        <v>61</v>
      </c>
      <c r="B72" s="50"/>
      <c r="C72" s="186" t="s">
        <v>58</v>
      </c>
      <c r="D72" s="201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9">
        <v>0</v>
      </c>
    </row>
    <row r="73" spans="1:19" ht="14.4" thickBot="1" x14ac:dyDescent="0.3">
      <c r="A73" s="204" t="s">
        <v>60</v>
      </c>
      <c r="B73" s="205"/>
      <c r="C73" s="206" t="s">
        <v>58</v>
      </c>
      <c r="D73" s="207">
        <v>0</v>
      </c>
      <c r="E73" s="208">
        <v>0</v>
      </c>
      <c r="F73" s="208">
        <v>0</v>
      </c>
      <c r="G73" s="208">
        <v>0</v>
      </c>
      <c r="H73" s="208">
        <v>0</v>
      </c>
      <c r="I73" s="208">
        <v>0</v>
      </c>
      <c r="J73" s="208">
        <v>0</v>
      </c>
      <c r="K73" s="208">
        <v>0</v>
      </c>
      <c r="L73" s="208">
        <v>0</v>
      </c>
      <c r="M73" s="208">
        <v>0</v>
      </c>
      <c r="N73" s="208">
        <v>0</v>
      </c>
      <c r="O73" s="208">
        <v>0</v>
      </c>
      <c r="P73" s="208">
        <v>0</v>
      </c>
      <c r="Q73" s="208">
        <v>0</v>
      </c>
      <c r="R73" s="208">
        <v>0</v>
      </c>
      <c r="S73" s="209">
        <v>0</v>
      </c>
    </row>
    <row r="74" spans="1:19" ht="14.4" thickBot="1" x14ac:dyDescent="0.3">
      <c r="A74" s="322" t="s">
        <v>11</v>
      </c>
      <c r="B74" s="323"/>
      <c r="C74" s="324"/>
      <c r="D74" s="324"/>
      <c r="E74" s="324"/>
      <c r="F74" s="324"/>
      <c r="G74" s="32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5"/>
    </row>
    <row r="75" spans="1:19" x14ac:dyDescent="0.25">
      <c r="A75" s="210" t="s">
        <v>9</v>
      </c>
      <c r="B75" s="174"/>
      <c r="C75" s="211" t="s">
        <v>58</v>
      </c>
      <c r="D75" s="212">
        <v>0</v>
      </c>
      <c r="E75" s="213">
        <f>$S$75</f>
        <v>3.7999999999999999E-2</v>
      </c>
      <c r="F75" s="213">
        <f t="shared" ref="F75:R75" si="67">$S$75</f>
        <v>3.7999999999999999E-2</v>
      </c>
      <c r="G75" s="213">
        <f t="shared" si="67"/>
        <v>3.7999999999999999E-2</v>
      </c>
      <c r="H75" s="213">
        <f t="shared" si="67"/>
        <v>3.7999999999999999E-2</v>
      </c>
      <c r="I75" s="213">
        <f t="shared" si="67"/>
        <v>3.7999999999999999E-2</v>
      </c>
      <c r="J75" s="213">
        <f t="shared" si="67"/>
        <v>3.7999999999999999E-2</v>
      </c>
      <c r="K75" s="213">
        <f t="shared" si="67"/>
        <v>3.7999999999999999E-2</v>
      </c>
      <c r="L75" s="213">
        <f t="shared" si="67"/>
        <v>3.7999999999999999E-2</v>
      </c>
      <c r="M75" s="213">
        <f t="shared" si="67"/>
        <v>3.7999999999999999E-2</v>
      </c>
      <c r="N75" s="213">
        <f t="shared" si="67"/>
        <v>3.7999999999999999E-2</v>
      </c>
      <c r="O75" s="213">
        <f t="shared" si="67"/>
        <v>3.7999999999999999E-2</v>
      </c>
      <c r="P75" s="213">
        <f t="shared" si="67"/>
        <v>3.7999999999999999E-2</v>
      </c>
      <c r="Q75" s="213">
        <f t="shared" si="67"/>
        <v>3.7999999999999999E-2</v>
      </c>
      <c r="R75" s="213">
        <f t="shared" si="67"/>
        <v>3.7999999999999999E-2</v>
      </c>
      <c r="S75" s="214">
        <f>P6</f>
        <v>3.7999999999999999E-2</v>
      </c>
    </row>
    <row r="76" spans="1:19" x14ac:dyDescent="0.25">
      <c r="A76" s="60" t="s">
        <v>10</v>
      </c>
      <c r="B76" s="31"/>
      <c r="C76" s="191" t="s">
        <v>58</v>
      </c>
      <c r="D76" s="202">
        <v>0</v>
      </c>
      <c r="E76" s="38">
        <f>$S$76</f>
        <v>3.3000000000000002E-2</v>
      </c>
      <c r="F76" s="38">
        <f t="shared" ref="F76:R76" si="68">$S$76</f>
        <v>3.3000000000000002E-2</v>
      </c>
      <c r="G76" s="38">
        <f t="shared" si="68"/>
        <v>3.3000000000000002E-2</v>
      </c>
      <c r="H76" s="38">
        <f t="shared" si="68"/>
        <v>3.3000000000000002E-2</v>
      </c>
      <c r="I76" s="38">
        <f t="shared" si="68"/>
        <v>3.3000000000000002E-2</v>
      </c>
      <c r="J76" s="38">
        <f t="shared" si="68"/>
        <v>3.3000000000000002E-2</v>
      </c>
      <c r="K76" s="38">
        <f t="shared" si="68"/>
        <v>3.3000000000000002E-2</v>
      </c>
      <c r="L76" s="38">
        <f t="shared" si="68"/>
        <v>3.3000000000000002E-2</v>
      </c>
      <c r="M76" s="38">
        <f t="shared" si="68"/>
        <v>3.3000000000000002E-2</v>
      </c>
      <c r="N76" s="38">
        <f t="shared" si="68"/>
        <v>3.3000000000000002E-2</v>
      </c>
      <c r="O76" s="38">
        <f t="shared" si="68"/>
        <v>3.3000000000000002E-2</v>
      </c>
      <c r="P76" s="38">
        <f t="shared" si="68"/>
        <v>3.3000000000000002E-2</v>
      </c>
      <c r="Q76" s="38">
        <f t="shared" si="68"/>
        <v>3.3000000000000002E-2</v>
      </c>
      <c r="R76" s="38">
        <f t="shared" si="68"/>
        <v>3.3000000000000002E-2</v>
      </c>
      <c r="S76" s="39">
        <f>P5</f>
        <v>3.3000000000000002E-2</v>
      </c>
    </row>
    <row r="77" spans="1:19" ht="14.4" thickBot="1" x14ac:dyDescent="0.3">
      <c r="A77" s="61" t="s">
        <v>78</v>
      </c>
      <c r="B77" s="32"/>
      <c r="C77" s="187" t="s">
        <v>58</v>
      </c>
      <c r="D77" s="203">
        <f>VLOOKUP($C$10,Sheet1!$B$41:$Q$45,2,FALSE)</f>
        <v>1.0062</v>
      </c>
      <c r="E77" s="40">
        <f>VLOOKUP($C$10,Sheet1!$B$41:$Q$45,3,FALSE)</f>
        <v>1.0123</v>
      </c>
      <c r="F77" s="40">
        <f>VLOOKUP($C$10,Sheet1!$B$41:$Q$45,4,FALSE)</f>
        <v>1.0125</v>
      </c>
      <c r="G77" s="40">
        <f>VLOOKUP($C$10,Sheet1!$B$41:$Q$45,5,FALSE)</f>
        <v>1.0189999999999999</v>
      </c>
      <c r="H77" s="40">
        <f>VLOOKUP($C$10,Sheet1!$B$41:$Q$45,6,FALSE)</f>
        <v>1.0254000000000001</v>
      </c>
      <c r="I77" s="40">
        <f>VLOOKUP($C$10,Sheet1!$B$41:$Q$45,7,FALSE)</f>
        <v>1.0318000000000001</v>
      </c>
      <c r="J77" s="40">
        <f>VLOOKUP($C$10,Sheet1!$B$41:$Q$45,8,FALSE)</f>
        <v>1.0382</v>
      </c>
      <c r="K77" s="40">
        <f>VLOOKUP($C$10,Sheet1!$B$41:$Q$45,9,FALSE)</f>
        <v>1.0446</v>
      </c>
      <c r="L77" s="40">
        <f>VLOOKUP($C$10,Sheet1!$B$41:$Q$45,10,FALSE)</f>
        <v>1.0510999999999999</v>
      </c>
      <c r="M77" s="40">
        <f>VLOOKUP($C$10,Sheet1!$B$41:$Q$45,11,FALSE)</f>
        <v>1.0575000000000001</v>
      </c>
      <c r="N77" s="40">
        <f>VLOOKUP($C$10,Sheet1!$B$41:$Q$45,12,FALSE)</f>
        <v>1.0618000000000001</v>
      </c>
      <c r="O77" s="40">
        <f>VLOOKUP($C$10,Sheet1!$B$41:$Q$45,13,FALSE)</f>
        <v>1.0676000000000001</v>
      </c>
      <c r="P77" s="40">
        <f>VLOOKUP($C$10,Sheet1!$B$41:$Q$45,14,FALSE)</f>
        <v>1.0733999999999999</v>
      </c>
      <c r="Q77" s="40">
        <f>VLOOKUP($C$10,Sheet1!$B$41:$Q$45,15,FALSE)</f>
        <v>1.0791999999999999</v>
      </c>
      <c r="R77" s="40">
        <f>VLOOKUP($C$10,Sheet1!$B$41:$Q$45,16,FALSE)</f>
        <v>1.085</v>
      </c>
      <c r="S77" s="41"/>
    </row>
    <row r="79" spans="1:19" ht="14.4" thickBot="1" x14ac:dyDescent="0.3"/>
    <row r="80" spans="1:19" s="3" customFormat="1" x14ac:dyDescent="0.25">
      <c r="A80" s="279"/>
      <c r="B80" s="280"/>
      <c r="C80" s="281"/>
      <c r="D80" s="317" t="s">
        <v>38</v>
      </c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8"/>
      <c r="S80" s="4"/>
    </row>
    <row r="81" spans="1:19" s="3" customFormat="1" ht="14.4" thickBot="1" x14ac:dyDescent="0.3">
      <c r="A81" s="287" t="s">
        <v>7</v>
      </c>
      <c r="B81" s="288"/>
      <c r="C81" s="289"/>
      <c r="D81" s="16" t="s">
        <v>20</v>
      </c>
      <c r="E81" s="16" t="s">
        <v>21</v>
      </c>
      <c r="F81" s="16" t="s">
        <v>22</v>
      </c>
      <c r="G81" s="16" t="s">
        <v>23</v>
      </c>
      <c r="H81" s="16" t="s">
        <v>24</v>
      </c>
      <c r="I81" s="16" t="s">
        <v>25</v>
      </c>
      <c r="J81" s="16" t="s">
        <v>26</v>
      </c>
      <c r="K81" s="16" t="s">
        <v>27</v>
      </c>
      <c r="L81" s="16" t="s">
        <v>28</v>
      </c>
      <c r="M81" s="16" t="s">
        <v>29</v>
      </c>
      <c r="N81" s="16" t="s">
        <v>30</v>
      </c>
      <c r="O81" s="16" t="s">
        <v>31</v>
      </c>
      <c r="P81" s="16" t="s">
        <v>32</v>
      </c>
      <c r="Q81" s="16" t="s">
        <v>33</v>
      </c>
      <c r="R81" s="17" t="s">
        <v>34</v>
      </c>
      <c r="S81" s="4"/>
    </row>
    <row r="82" spans="1:19" x14ac:dyDescent="0.25">
      <c r="A82" s="314" t="s">
        <v>8</v>
      </c>
      <c r="B82" s="315"/>
      <c r="C82" s="285" t="s">
        <v>15</v>
      </c>
      <c r="D82" s="215">
        <f>D19</f>
        <v>2.2000000000000002</v>
      </c>
      <c r="E82" s="63">
        <f t="shared" ref="E82:R82" si="69">E19</f>
        <v>2.2000000000000002</v>
      </c>
      <c r="F82" s="63">
        <f t="shared" si="69"/>
        <v>2.2000000000000002</v>
      </c>
      <c r="G82" s="63">
        <f t="shared" si="69"/>
        <v>2.2000000000000002</v>
      </c>
      <c r="H82" s="63">
        <f t="shared" si="69"/>
        <v>2.2000000000000002</v>
      </c>
      <c r="I82" s="63">
        <f t="shared" si="69"/>
        <v>2.2000000000000002</v>
      </c>
      <c r="J82" s="63">
        <f t="shared" si="69"/>
        <v>2.2000000000000002</v>
      </c>
      <c r="K82" s="63">
        <f t="shared" si="69"/>
        <v>2.2000000000000002</v>
      </c>
      <c r="L82" s="63">
        <f t="shared" si="69"/>
        <v>2.2000000000000002</v>
      </c>
      <c r="M82" s="63">
        <f t="shared" si="69"/>
        <v>2.2000000000000002</v>
      </c>
      <c r="N82" s="63">
        <f t="shared" si="69"/>
        <v>2.2000000000000002</v>
      </c>
      <c r="O82" s="63">
        <f t="shared" si="69"/>
        <v>2.2000000000000002</v>
      </c>
      <c r="P82" s="63">
        <f t="shared" si="69"/>
        <v>2.2000000000000002</v>
      </c>
      <c r="Q82" s="63">
        <f t="shared" si="69"/>
        <v>2.2000000000000002</v>
      </c>
      <c r="R82" s="64">
        <f t="shared" si="69"/>
        <v>2.2000000000000002</v>
      </c>
    </row>
    <row r="83" spans="1:19" ht="14.4" thickBot="1" x14ac:dyDescent="0.3">
      <c r="A83" s="312" t="s">
        <v>35</v>
      </c>
      <c r="B83" s="313"/>
      <c r="C83" s="286"/>
      <c r="D83" s="216">
        <f>D20</f>
        <v>0.5</v>
      </c>
      <c r="E83" s="62">
        <f t="shared" ref="E83:R83" si="70">E20</f>
        <v>0.5</v>
      </c>
      <c r="F83" s="62">
        <f t="shared" si="70"/>
        <v>0.5</v>
      </c>
      <c r="G83" s="62">
        <f t="shared" si="70"/>
        <v>0.5</v>
      </c>
      <c r="H83" s="62">
        <f t="shared" si="70"/>
        <v>0.5</v>
      </c>
      <c r="I83" s="62">
        <f t="shared" si="70"/>
        <v>0.5</v>
      </c>
      <c r="J83" s="62">
        <f t="shared" si="70"/>
        <v>0.5</v>
      </c>
      <c r="K83" s="62">
        <f t="shared" si="70"/>
        <v>0.5</v>
      </c>
      <c r="L83" s="62">
        <f t="shared" si="70"/>
        <v>0.5</v>
      </c>
      <c r="M83" s="62">
        <f t="shared" si="70"/>
        <v>0.5</v>
      </c>
      <c r="N83" s="62">
        <f t="shared" si="70"/>
        <v>0.5</v>
      </c>
      <c r="O83" s="62">
        <f t="shared" si="70"/>
        <v>0.5</v>
      </c>
      <c r="P83" s="62">
        <f t="shared" si="70"/>
        <v>0.5</v>
      </c>
      <c r="Q83" s="62">
        <f t="shared" si="70"/>
        <v>0.5</v>
      </c>
      <c r="R83" s="65">
        <f t="shared" si="70"/>
        <v>0.5</v>
      </c>
    </row>
    <row r="84" spans="1:19" s="3" customFormat="1" x14ac:dyDescent="0.25">
      <c r="A84" s="152" t="s">
        <v>75</v>
      </c>
      <c r="B84" s="153"/>
      <c r="C84" s="18" t="s">
        <v>15</v>
      </c>
      <c r="D84" s="224">
        <f>SUM(D82:D83)</f>
        <v>2.7</v>
      </c>
      <c r="E84" s="225">
        <f t="shared" ref="E84:R84" si="71">SUM(E82:E83)</f>
        <v>2.7</v>
      </c>
      <c r="F84" s="225">
        <f t="shared" si="71"/>
        <v>2.7</v>
      </c>
      <c r="G84" s="225">
        <f t="shared" si="71"/>
        <v>2.7</v>
      </c>
      <c r="H84" s="225">
        <f t="shared" si="71"/>
        <v>2.7</v>
      </c>
      <c r="I84" s="225">
        <f t="shared" si="71"/>
        <v>2.7</v>
      </c>
      <c r="J84" s="225">
        <f t="shared" si="71"/>
        <v>2.7</v>
      </c>
      <c r="K84" s="225">
        <f t="shared" si="71"/>
        <v>2.7</v>
      </c>
      <c r="L84" s="225">
        <f t="shared" si="71"/>
        <v>2.7</v>
      </c>
      <c r="M84" s="225">
        <f t="shared" si="71"/>
        <v>2.7</v>
      </c>
      <c r="N84" s="225">
        <f t="shared" si="71"/>
        <v>2.7</v>
      </c>
      <c r="O84" s="225">
        <f t="shared" si="71"/>
        <v>2.7</v>
      </c>
      <c r="P84" s="225">
        <f t="shared" si="71"/>
        <v>2.7</v>
      </c>
      <c r="Q84" s="225">
        <f t="shared" si="71"/>
        <v>2.7</v>
      </c>
      <c r="R84" s="226">
        <f t="shared" si="71"/>
        <v>2.7</v>
      </c>
      <c r="S84" s="4"/>
    </row>
    <row r="85" spans="1:19" x14ac:dyDescent="0.25">
      <c r="A85" s="21" t="s">
        <v>39</v>
      </c>
      <c r="B85" s="30"/>
      <c r="C85" s="191" t="s">
        <v>15</v>
      </c>
      <c r="D85" s="217">
        <f>+D24+D22</f>
        <v>0.30168002067717758</v>
      </c>
      <c r="E85" s="6">
        <f t="shared" ref="E85:R85" si="72">+E24+E22</f>
        <v>0.31166130783148099</v>
      </c>
      <c r="F85" s="6">
        <f t="shared" si="72"/>
        <v>0.3219729596278107</v>
      </c>
      <c r="G85" s="6">
        <f t="shared" si="72"/>
        <v>0.3326259154216592</v>
      </c>
      <c r="H85" s="6">
        <f t="shared" si="72"/>
        <v>0.34363147698549773</v>
      </c>
      <c r="I85" s="6">
        <f t="shared" si="72"/>
        <v>0.35500132052242994</v>
      </c>
      <c r="J85" s="6">
        <f t="shared" si="72"/>
        <v>0.36674750907834458</v>
      </c>
      <c r="K85" s="6">
        <f t="shared" si="72"/>
        <v>0.37888250536579399</v>
      </c>
      <c r="L85" s="6">
        <f t="shared" si="72"/>
        <v>0.39141918501326811</v>
      </c>
      <c r="M85" s="6">
        <f t="shared" si="72"/>
        <v>0.40437085025398423</v>
      </c>
      <c r="N85" s="6">
        <f t="shared" si="72"/>
        <v>0.4177512440687845</v>
      </c>
      <c r="O85" s="6">
        <f t="shared" si="72"/>
        <v>0.4315745647982171</v>
      </c>
      <c r="P85" s="6">
        <f t="shared" si="72"/>
        <v>0.44585548123937707</v>
      </c>
      <c r="Q85" s="6">
        <f t="shared" si="72"/>
        <v>0.46060914824360261</v>
      </c>
      <c r="R85" s="35">
        <f t="shared" si="72"/>
        <v>0.47585122283165382</v>
      </c>
    </row>
    <row r="86" spans="1:19" x14ac:dyDescent="0.25">
      <c r="A86" s="21" t="s">
        <v>40</v>
      </c>
      <c r="B86" s="30"/>
      <c r="C86" s="191" t="s">
        <v>15</v>
      </c>
      <c r="D86" s="217">
        <f>+D67</f>
        <v>4.4284970513467989</v>
      </c>
      <c r="E86" s="6">
        <f t="shared" ref="E86:R86" si="73">+E67</f>
        <v>4.0918122751294321</v>
      </c>
      <c r="F86" s="6">
        <f t="shared" si="73"/>
        <v>4.1164157338714347</v>
      </c>
      <c r="G86" s="6">
        <f t="shared" si="73"/>
        <v>4.1676464300344485</v>
      </c>
      <c r="H86" s="6">
        <f t="shared" si="73"/>
        <v>4.2322266468474261</v>
      </c>
      <c r="I86" s="6">
        <f t="shared" si="73"/>
        <v>4.3112761165414177</v>
      </c>
      <c r="J86" s="6">
        <f t="shared" si="73"/>
        <v>4.4059933882085414</v>
      </c>
      <c r="K86" s="6">
        <f t="shared" si="73"/>
        <v>4.5179065455859586</v>
      </c>
      <c r="L86" s="6">
        <f t="shared" si="73"/>
        <v>4.6493724720919447</v>
      </c>
      <c r="M86" s="6">
        <f t="shared" si="73"/>
        <v>4.8020856198014599</v>
      </c>
      <c r="N86" s="6">
        <f t="shared" si="73"/>
        <v>4.9690469959249688</v>
      </c>
      <c r="O86" s="6">
        <f t="shared" si="73"/>
        <v>5.1648397991586839</v>
      </c>
      <c r="P86" s="6">
        <f t="shared" si="73"/>
        <v>5.3897854012265176</v>
      </c>
      <c r="Q86" s="6">
        <f t="shared" si="73"/>
        <v>5.6483057629348323</v>
      </c>
      <c r="R86" s="35">
        <f t="shared" si="73"/>
        <v>5.9457046083320924</v>
      </c>
    </row>
    <row r="87" spans="1:19" s="3" customFormat="1" ht="14.4" thickBot="1" x14ac:dyDescent="0.3">
      <c r="A87" s="22" t="s">
        <v>41</v>
      </c>
      <c r="B87" s="33"/>
      <c r="C87" s="17" t="s">
        <v>15</v>
      </c>
      <c r="D87" s="218">
        <f>SUM(D84:D86)</f>
        <v>7.4301770720239766</v>
      </c>
      <c r="E87" s="42">
        <f t="shared" ref="E87:R87" si="74">SUM(E84:E86)</f>
        <v>7.1034735829609135</v>
      </c>
      <c r="F87" s="42">
        <f t="shared" si="74"/>
        <v>7.1383886934992455</v>
      </c>
      <c r="G87" s="42">
        <f t="shared" si="74"/>
        <v>7.2002723454561082</v>
      </c>
      <c r="H87" s="42">
        <f t="shared" si="74"/>
        <v>7.2758581238329239</v>
      </c>
      <c r="I87" s="42">
        <f t="shared" si="74"/>
        <v>7.3662774370638484</v>
      </c>
      <c r="J87" s="42">
        <f t="shared" si="74"/>
        <v>7.4727408972868865</v>
      </c>
      <c r="K87" s="42">
        <f t="shared" si="74"/>
        <v>7.5967890509517524</v>
      </c>
      <c r="L87" s="42">
        <f t="shared" si="74"/>
        <v>7.7407916571052127</v>
      </c>
      <c r="M87" s="42">
        <f t="shared" si="74"/>
        <v>7.9064564700554438</v>
      </c>
      <c r="N87" s="42">
        <f t="shared" si="74"/>
        <v>8.0867982399937546</v>
      </c>
      <c r="O87" s="42">
        <f t="shared" si="74"/>
        <v>8.2964143639569006</v>
      </c>
      <c r="P87" s="42">
        <f t="shared" si="74"/>
        <v>8.5356408824658949</v>
      </c>
      <c r="Q87" s="42">
        <f t="shared" si="74"/>
        <v>8.8089149111784355</v>
      </c>
      <c r="R87" s="43">
        <f t="shared" si="74"/>
        <v>9.1215558311637466</v>
      </c>
      <c r="S87" s="4"/>
    </row>
    <row r="88" spans="1:19" ht="14.4" thickBot="1" x14ac:dyDescent="0.3"/>
    <row r="89" spans="1:19" ht="14.4" thickBot="1" x14ac:dyDescent="0.3">
      <c r="A89" s="276" t="s">
        <v>42</v>
      </c>
      <c r="B89" s="277"/>
      <c r="C89" s="278"/>
      <c r="D89" s="219">
        <f>IF($C$8="N",D87*0.12,0)</f>
        <v>0.89162124864287717</v>
      </c>
      <c r="E89" s="44">
        <f t="shared" ref="E89:R89" si="75">IF($C$8="N",E87*0.12,0)</f>
        <v>0.85241682995530954</v>
      </c>
      <c r="F89" s="44">
        <f t="shared" si="75"/>
        <v>0.85660664321990942</v>
      </c>
      <c r="G89" s="44">
        <f t="shared" si="75"/>
        <v>0.864032681454733</v>
      </c>
      <c r="H89" s="44">
        <f t="shared" si="75"/>
        <v>0.87310297485995081</v>
      </c>
      <c r="I89" s="44">
        <f t="shared" si="75"/>
        <v>0.88395329244766174</v>
      </c>
      <c r="J89" s="44">
        <f t="shared" si="75"/>
        <v>0.89672890767442637</v>
      </c>
      <c r="K89" s="44">
        <f t="shared" si="75"/>
        <v>0.91161468611421026</v>
      </c>
      <c r="L89" s="44">
        <f t="shared" si="75"/>
        <v>0.9288949988526255</v>
      </c>
      <c r="M89" s="44">
        <f t="shared" si="75"/>
        <v>0.9487747764066532</v>
      </c>
      <c r="N89" s="44">
        <f t="shared" si="75"/>
        <v>0.9704157887992505</v>
      </c>
      <c r="O89" s="44">
        <f t="shared" si="75"/>
        <v>0.99556972367482799</v>
      </c>
      <c r="P89" s="44">
        <f t="shared" si="75"/>
        <v>1.0242769058959074</v>
      </c>
      <c r="Q89" s="44">
        <f t="shared" si="75"/>
        <v>1.0570697893414123</v>
      </c>
      <c r="R89" s="45">
        <f t="shared" si="75"/>
        <v>1.0945866997396496</v>
      </c>
    </row>
    <row r="90" spans="1:19" ht="14.4" thickBot="1" x14ac:dyDescent="0.3">
      <c r="D90" s="9"/>
    </row>
    <row r="91" spans="1:19" ht="14.4" thickBot="1" x14ac:dyDescent="0.3">
      <c r="A91" s="276" t="s">
        <v>43</v>
      </c>
      <c r="B91" s="277"/>
      <c r="C91" s="278"/>
      <c r="D91" s="219">
        <f>SUM(D87:D89)</f>
        <v>8.3217983206668542</v>
      </c>
      <c r="E91" s="44">
        <f t="shared" ref="E91:R91" si="76">SUM(E87:E89)</f>
        <v>7.9558904129162231</v>
      </c>
      <c r="F91" s="44">
        <f t="shared" si="76"/>
        <v>7.9949953367191551</v>
      </c>
      <c r="G91" s="44">
        <f t="shared" si="76"/>
        <v>8.0643050269108407</v>
      </c>
      <c r="H91" s="44">
        <f t="shared" si="76"/>
        <v>8.1489610986928742</v>
      </c>
      <c r="I91" s="44">
        <f t="shared" si="76"/>
        <v>8.2502307295115109</v>
      </c>
      <c r="J91" s="44">
        <f t="shared" si="76"/>
        <v>8.3694698049613123</v>
      </c>
      <c r="K91" s="44">
        <f t="shared" si="76"/>
        <v>8.5084037370659633</v>
      </c>
      <c r="L91" s="44">
        <f t="shared" si="76"/>
        <v>8.6696866559578378</v>
      </c>
      <c r="M91" s="44">
        <f t="shared" si="76"/>
        <v>8.8552312464620968</v>
      </c>
      <c r="N91" s="44">
        <f t="shared" si="76"/>
        <v>9.0572140287930054</v>
      </c>
      <c r="O91" s="44">
        <f t="shared" si="76"/>
        <v>9.2919840876317288</v>
      </c>
      <c r="P91" s="44">
        <f t="shared" si="76"/>
        <v>9.5599177883618029</v>
      </c>
      <c r="Q91" s="44">
        <f t="shared" si="76"/>
        <v>9.8659847005198476</v>
      </c>
      <c r="R91" s="45">
        <f t="shared" si="76"/>
        <v>10.216142530903396</v>
      </c>
    </row>
    <row r="92" spans="1:19" ht="14.4" thickBot="1" x14ac:dyDescent="0.3"/>
    <row r="93" spans="1:19" x14ac:dyDescent="0.25">
      <c r="A93" s="279" t="s">
        <v>44</v>
      </c>
      <c r="B93" s="280"/>
      <c r="C93" s="299"/>
      <c r="D93" s="220">
        <v>25185000</v>
      </c>
      <c r="E93" s="46">
        <v>25185000</v>
      </c>
      <c r="F93" s="46">
        <v>25185000</v>
      </c>
      <c r="G93" s="46">
        <v>25254000</v>
      </c>
      <c r="H93" s="46">
        <v>25185000</v>
      </c>
      <c r="I93" s="46">
        <v>25185000</v>
      </c>
      <c r="J93" s="46">
        <v>25185000</v>
      </c>
      <c r="K93" s="46">
        <v>25254000</v>
      </c>
      <c r="L93" s="46">
        <v>25185000</v>
      </c>
      <c r="M93" s="46">
        <v>25185000</v>
      </c>
      <c r="N93" s="46">
        <v>25185000</v>
      </c>
      <c r="O93" s="46">
        <v>25254000</v>
      </c>
      <c r="P93" s="46">
        <v>25185000</v>
      </c>
      <c r="Q93" s="46">
        <v>25185000</v>
      </c>
      <c r="R93" s="46">
        <v>25185000</v>
      </c>
    </row>
    <row r="94" spans="1:19" ht="14.4" thickBot="1" x14ac:dyDescent="0.3">
      <c r="A94" s="300" t="s">
        <v>45</v>
      </c>
      <c r="B94" s="301"/>
      <c r="C94" s="302"/>
      <c r="D94" s="221">
        <f>D93*D91</f>
        <v>209584490.70599473</v>
      </c>
      <c r="E94" s="47">
        <f t="shared" ref="E94:R94" si="77">E93*E91</f>
        <v>200369100.04929507</v>
      </c>
      <c r="F94" s="47">
        <f t="shared" si="77"/>
        <v>201353957.55527192</v>
      </c>
      <c r="G94" s="47">
        <f t="shared" si="77"/>
        <v>203655959.14960638</v>
      </c>
      <c r="H94" s="47">
        <f t="shared" si="77"/>
        <v>205231585.27058002</v>
      </c>
      <c r="I94" s="47">
        <f t="shared" si="77"/>
        <v>207782060.9227474</v>
      </c>
      <c r="J94" s="47">
        <f t="shared" si="77"/>
        <v>210785097.03795066</v>
      </c>
      <c r="K94" s="47">
        <f t="shared" si="77"/>
        <v>214871227.97586384</v>
      </c>
      <c r="L94" s="47">
        <f t="shared" si="77"/>
        <v>218346058.43029815</v>
      </c>
      <c r="M94" s="47">
        <f t="shared" si="77"/>
        <v>223018998.94214791</v>
      </c>
      <c r="N94" s="47">
        <f t="shared" si="77"/>
        <v>228105935.31515184</v>
      </c>
      <c r="O94" s="47">
        <f t="shared" si="77"/>
        <v>234659766.14905167</v>
      </c>
      <c r="P94" s="47">
        <f t="shared" si="77"/>
        <v>240766529.499892</v>
      </c>
      <c r="Q94" s="47">
        <f t="shared" si="77"/>
        <v>248474824.68259236</v>
      </c>
      <c r="R94" s="48">
        <f t="shared" si="77"/>
        <v>257293549.64080203</v>
      </c>
    </row>
    <row r="96" spans="1:19" ht="14.4" thickBot="1" x14ac:dyDescent="0.3"/>
    <row r="97" spans="1:19" s="10" customFormat="1" ht="70.2" customHeight="1" thickBot="1" x14ac:dyDescent="0.35">
      <c r="A97" s="296" t="s">
        <v>46</v>
      </c>
      <c r="B97" s="297"/>
      <c r="C97" s="223" t="s">
        <v>15</v>
      </c>
      <c r="D97" s="222">
        <f>ROUND((SUM(D94:R94)/SUM(D93:R93)),4)</f>
        <v>8.7418999999999993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1:19" ht="14.4" thickBot="1" x14ac:dyDescent="0.3"/>
    <row r="99" spans="1:19" s="12" customFormat="1" ht="27.6" customHeight="1" thickBot="1" x14ac:dyDescent="0.35">
      <c r="A99" s="308" t="s">
        <v>47</v>
      </c>
      <c r="B99" s="308"/>
      <c r="C99" s="13" t="s">
        <v>15</v>
      </c>
      <c r="D99" s="151">
        <v>-0.2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19" s="14" customFormat="1" ht="27.6" customHeight="1" thickBot="1" x14ac:dyDescent="0.35">
      <c r="A100" s="307" t="s">
        <v>48</v>
      </c>
      <c r="B100" s="307"/>
      <c r="C100" s="15"/>
      <c r="D100" s="303" t="s">
        <v>109</v>
      </c>
      <c r="E100" s="304"/>
      <c r="F100" s="304"/>
      <c r="G100" s="304"/>
      <c r="H100" s="304"/>
      <c r="I100" s="304"/>
      <c r="J100" s="304"/>
      <c r="K100" s="304"/>
      <c r="L100" s="304"/>
      <c r="M100" s="304"/>
      <c r="N100" s="304"/>
      <c r="O100" s="304"/>
      <c r="P100" s="304"/>
      <c r="Q100" s="304"/>
      <c r="R100" s="305"/>
      <c r="S100" s="15"/>
    </row>
    <row r="101" spans="1:19" ht="14.4" thickBot="1" x14ac:dyDescent="0.3"/>
    <row r="102" spans="1:19" x14ac:dyDescent="0.25">
      <c r="D102" s="23" t="s">
        <v>20</v>
      </c>
      <c r="E102" s="24" t="s">
        <v>21</v>
      </c>
      <c r="F102" s="24" t="s">
        <v>22</v>
      </c>
      <c r="G102" s="24" t="s">
        <v>23</v>
      </c>
      <c r="H102" s="24" t="s">
        <v>24</v>
      </c>
      <c r="I102" s="24" t="s">
        <v>25</v>
      </c>
      <c r="J102" s="24" t="s">
        <v>26</v>
      </c>
      <c r="K102" s="24" t="s">
        <v>27</v>
      </c>
      <c r="L102" s="24" t="s">
        <v>28</v>
      </c>
      <c r="M102" s="24" t="s">
        <v>29</v>
      </c>
      <c r="N102" s="24" t="s">
        <v>30</v>
      </c>
      <c r="O102" s="24" t="s">
        <v>31</v>
      </c>
      <c r="P102" s="24" t="s">
        <v>32</v>
      </c>
      <c r="Q102" s="24" t="s">
        <v>33</v>
      </c>
      <c r="R102" s="18" t="s">
        <v>34</v>
      </c>
    </row>
    <row r="103" spans="1:19" ht="14.4" thickBot="1" x14ac:dyDescent="0.3">
      <c r="A103" s="1" t="s">
        <v>49</v>
      </c>
      <c r="D103" s="49">
        <f>D91+$D$99</f>
        <v>8.1217983206668549</v>
      </c>
      <c r="E103" s="34">
        <f>E91+$D$99</f>
        <v>7.7558904129162229</v>
      </c>
      <c r="F103" s="34">
        <f t="shared" ref="F103:J103" si="78">F91+$D$99</f>
        <v>7.7949953367191549</v>
      </c>
      <c r="G103" s="34">
        <f t="shared" si="78"/>
        <v>7.8643050269108405</v>
      </c>
      <c r="H103" s="34">
        <f t="shared" si="78"/>
        <v>7.948961098692874</v>
      </c>
      <c r="I103" s="34">
        <f t="shared" si="78"/>
        <v>8.0502307295115116</v>
      </c>
      <c r="J103" s="34">
        <f t="shared" si="78"/>
        <v>8.169469804961313</v>
      </c>
      <c r="K103" s="34">
        <f t="shared" ref="K103:R103" si="79">K91+$D$99</f>
        <v>8.308403737065964</v>
      </c>
      <c r="L103" s="34">
        <f t="shared" si="79"/>
        <v>8.4696866559578385</v>
      </c>
      <c r="M103" s="34">
        <f t="shared" si="79"/>
        <v>8.6552312464620975</v>
      </c>
      <c r="N103" s="34">
        <f t="shared" si="79"/>
        <v>8.8572140287930061</v>
      </c>
      <c r="O103" s="34">
        <f t="shared" si="79"/>
        <v>9.0919840876317295</v>
      </c>
      <c r="P103" s="34">
        <f t="shared" si="79"/>
        <v>9.3599177883618037</v>
      </c>
      <c r="Q103" s="34">
        <f t="shared" si="79"/>
        <v>9.6659847005198483</v>
      </c>
      <c r="R103" s="36">
        <f t="shared" si="79"/>
        <v>10.016142530903396</v>
      </c>
    </row>
    <row r="107" spans="1:19" ht="14.4" thickBot="1" x14ac:dyDescent="0.3">
      <c r="A107" s="306"/>
      <c r="B107" s="306"/>
      <c r="C107" s="306"/>
      <c r="D107" s="306"/>
    </row>
    <row r="108" spans="1:19" ht="14.4" thickTop="1" x14ac:dyDescent="0.25">
      <c r="A108" s="298" t="s">
        <v>50</v>
      </c>
      <c r="B108" s="298"/>
      <c r="C108" s="298"/>
      <c r="D108" s="298"/>
    </row>
    <row r="110" spans="1:19" ht="14.4" thickBot="1" x14ac:dyDescent="0.3">
      <c r="A110" s="306"/>
      <c r="B110" s="306"/>
      <c r="C110" s="306"/>
      <c r="D110" s="306"/>
    </row>
    <row r="111" spans="1:19" ht="14.4" thickTop="1" x14ac:dyDescent="0.25">
      <c r="A111" s="298" t="s">
        <v>51</v>
      </c>
      <c r="B111" s="298"/>
      <c r="C111" s="298"/>
      <c r="D111" s="298"/>
    </row>
  </sheetData>
  <sheetProtection algorithmName="SHA-512" hashValue="yluXNf/hTGgs9VpuXXjw+6t7MTDSHH6xy2hwPlRYu2DRXWZEp6RGl8kHoFjJQhJ4wqnGQ2VaJjm8Pmw0VBJX7Q==" saltValue="SXPhiKYVS7R0HSp7N5XdCg==" spinCount="100000" sheet="1" objects="1" scenarios="1"/>
  <mergeCells count="68">
    <mergeCell ref="F14:G14"/>
    <mergeCell ref="F15:G15"/>
    <mergeCell ref="A67:B67"/>
    <mergeCell ref="A83:B83"/>
    <mergeCell ref="A82:B82"/>
    <mergeCell ref="A70:C70"/>
    <mergeCell ref="D70:R70"/>
    <mergeCell ref="A71:C71"/>
    <mergeCell ref="A74:S74"/>
    <mergeCell ref="D17:R17"/>
    <mergeCell ref="A21:R21"/>
    <mergeCell ref="A26:R26"/>
    <mergeCell ref="A17:C17"/>
    <mergeCell ref="A18:C18"/>
    <mergeCell ref="A25:B25"/>
    <mergeCell ref="D80:R80"/>
    <mergeCell ref="A97:B97"/>
    <mergeCell ref="A111:D111"/>
    <mergeCell ref="A93:C93"/>
    <mergeCell ref="A94:C94"/>
    <mergeCell ref="D100:R100"/>
    <mergeCell ref="A108:D108"/>
    <mergeCell ref="A110:D110"/>
    <mergeCell ref="A107:D107"/>
    <mergeCell ref="A100:B100"/>
    <mergeCell ref="A99:B99"/>
    <mergeCell ref="A1:S1"/>
    <mergeCell ref="C3:H3"/>
    <mergeCell ref="C4:H4"/>
    <mergeCell ref="C5:H5"/>
    <mergeCell ref="C6:H6"/>
    <mergeCell ref="A4:B4"/>
    <mergeCell ref="A3:B3"/>
    <mergeCell ref="A6:B6"/>
    <mergeCell ref="A5:B5"/>
    <mergeCell ref="A89:C89"/>
    <mergeCell ref="A91:C91"/>
    <mergeCell ref="A80:C80"/>
    <mergeCell ref="A37:A41"/>
    <mergeCell ref="A42:A46"/>
    <mergeCell ref="A47:A51"/>
    <mergeCell ref="C82:C83"/>
    <mergeCell ref="A52:A56"/>
    <mergeCell ref="A57:A61"/>
    <mergeCell ref="A81:C81"/>
    <mergeCell ref="A62:A66"/>
    <mergeCell ref="C13:D13"/>
    <mergeCell ref="C14:D14"/>
    <mergeCell ref="C15:D15"/>
    <mergeCell ref="A15:B15"/>
    <mergeCell ref="A14:B14"/>
    <mergeCell ref="A13:B13"/>
    <mergeCell ref="C7:H7"/>
    <mergeCell ref="C8:H8"/>
    <mergeCell ref="C11:H11"/>
    <mergeCell ref="A11:B11"/>
    <mergeCell ref="A8:B8"/>
    <mergeCell ref="A7:B7"/>
    <mergeCell ref="A9:B9"/>
    <mergeCell ref="A10:B10"/>
    <mergeCell ref="C9:H9"/>
    <mergeCell ref="C10:H10"/>
    <mergeCell ref="A20:B20"/>
    <mergeCell ref="A19:B19"/>
    <mergeCell ref="A23:B24"/>
    <mergeCell ref="A27:A31"/>
    <mergeCell ref="A32:A36"/>
    <mergeCell ref="A22:B22"/>
  </mergeCells>
  <phoneticPr fontId="3" type="noConversion"/>
  <conditionalFormatting sqref="C14:D14">
    <cfRule type="cellIs" dxfId="3" priority="3" operator="greaterThan">
      <formula>$E$14</formula>
    </cfRule>
  </conditionalFormatting>
  <conditionalFormatting sqref="C15:D15">
    <cfRule type="cellIs" dxfId="2" priority="2" operator="greaterThan">
      <formula>$E$15</formula>
    </cfRule>
  </conditionalFormatting>
  <conditionalFormatting sqref="D84:R84">
    <cfRule type="cellIs" dxfId="1" priority="15" operator="greaterThan">
      <formula>2.6</formula>
    </cfRule>
  </conditionalFormatting>
  <conditionalFormatting sqref="F14:F15">
    <cfRule type="cellIs" dxfId="0" priority="1" operator="equal">
      <formula>"Value Exceeds Allowed Outage"</formula>
    </cfRule>
  </conditionalFormatting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Renewable" xr:uid="{B7D6C7DD-000A-40A7-9CCA-E4F16A7D1129}">
          <x14:formula1>
            <xm:f>Sheet1!$A$10:$A$18</xm:f>
          </x14:formula1>
          <xm:sqref>C9:H9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FC5E0-CC3B-4A01-8D5F-EC29F225C9E9}">
  <dimension ref="A3:Q45"/>
  <sheetViews>
    <sheetView topLeftCell="A7" workbookViewId="0">
      <selection activeCell="E18" sqref="E18"/>
    </sheetView>
  </sheetViews>
  <sheetFormatPr defaultRowHeight="13.8" x14ac:dyDescent="0.25"/>
  <cols>
    <col min="1" max="1" width="31.44140625" style="105" customWidth="1"/>
    <col min="2" max="3" width="16.109375" style="105" customWidth="1"/>
    <col min="4" max="16384" width="8.88671875" style="105"/>
  </cols>
  <sheetData>
    <row r="3" spans="1:5" x14ac:dyDescent="0.25">
      <c r="A3" s="105" t="s">
        <v>83</v>
      </c>
    </row>
    <row r="4" spans="1:5" x14ac:dyDescent="0.25">
      <c r="A4" s="105" t="s">
        <v>57</v>
      </c>
    </row>
    <row r="5" spans="1:5" x14ac:dyDescent="0.25">
      <c r="A5" s="105" t="s">
        <v>76</v>
      </c>
    </row>
    <row r="9" spans="1:5" x14ac:dyDescent="0.25">
      <c r="A9" s="106" t="s">
        <v>115</v>
      </c>
      <c r="B9" s="106" t="s">
        <v>112</v>
      </c>
      <c r="C9" s="106" t="s">
        <v>113</v>
      </c>
    </row>
    <row r="10" spans="1:5" x14ac:dyDescent="0.25">
      <c r="A10" s="105" t="s">
        <v>116</v>
      </c>
      <c r="B10" s="106">
        <v>669</v>
      </c>
      <c r="C10" s="106">
        <v>403</v>
      </c>
      <c r="D10" s="105" t="s">
        <v>126</v>
      </c>
      <c r="E10" s="105" t="s">
        <v>76</v>
      </c>
    </row>
    <row r="11" spans="1:5" x14ac:dyDescent="0.25">
      <c r="A11" s="105" t="s">
        <v>117</v>
      </c>
      <c r="B11" s="106">
        <v>369</v>
      </c>
      <c r="C11" s="106">
        <v>405</v>
      </c>
      <c r="D11" s="105" t="s">
        <v>126</v>
      </c>
      <c r="E11" s="105" t="s">
        <v>76</v>
      </c>
    </row>
    <row r="12" spans="1:5" x14ac:dyDescent="0.25">
      <c r="A12" s="105" t="s">
        <v>118</v>
      </c>
      <c r="B12" s="106">
        <v>300</v>
      </c>
      <c r="C12" s="106">
        <v>184</v>
      </c>
      <c r="D12" s="105" t="s">
        <v>128</v>
      </c>
      <c r="E12" s="105" t="s">
        <v>76</v>
      </c>
    </row>
    <row r="13" spans="1:5" x14ac:dyDescent="0.25">
      <c r="A13" s="105" t="s">
        <v>119</v>
      </c>
      <c r="B13" s="106">
        <v>156</v>
      </c>
      <c r="C13" s="106">
        <v>544</v>
      </c>
      <c r="D13" s="105" t="s">
        <v>128</v>
      </c>
      <c r="E13" s="105" t="s">
        <v>76</v>
      </c>
    </row>
    <row r="14" spans="1:5" x14ac:dyDescent="0.25">
      <c r="A14" s="105" t="s">
        <v>120</v>
      </c>
      <c r="B14" s="106">
        <v>120</v>
      </c>
      <c r="C14" s="106">
        <v>336</v>
      </c>
      <c r="D14" s="105" t="s">
        <v>127</v>
      </c>
      <c r="E14" s="105" t="s">
        <v>76</v>
      </c>
    </row>
    <row r="15" spans="1:5" x14ac:dyDescent="0.25">
      <c r="A15" s="105" t="s">
        <v>121</v>
      </c>
      <c r="B15" s="106">
        <v>739</v>
      </c>
      <c r="C15" s="106">
        <v>667</v>
      </c>
      <c r="D15" s="105" t="s">
        <v>127</v>
      </c>
      <c r="E15" s="105" t="s">
        <v>76</v>
      </c>
    </row>
    <row r="16" spans="1:5" x14ac:dyDescent="0.25">
      <c r="A16" s="105" t="s">
        <v>122</v>
      </c>
      <c r="B16" s="106">
        <v>144</v>
      </c>
      <c r="C16" s="106">
        <v>328</v>
      </c>
      <c r="D16" s="105" t="s">
        <v>145</v>
      </c>
      <c r="E16" s="105" t="s">
        <v>57</v>
      </c>
    </row>
    <row r="17" spans="1:5" x14ac:dyDescent="0.25">
      <c r="A17" s="105" t="s">
        <v>123</v>
      </c>
      <c r="B17" s="106">
        <v>554</v>
      </c>
      <c r="C17" s="106">
        <v>163</v>
      </c>
      <c r="D17" s="105" t="s">
        <v>145</v>
      </c>
      <c r="E17" s="105" t="s">
        <v>57</v>
      </c>
    </row>
    <row r="18" spans="1:5" x14ac:dyDescent="0.25">
      <c r="A18" s="105" t="s">
        <v>124</v>
      </c>
      <c r="B18" s="106">
        <v>784</v>
      </c>
      <c r="C18" s="106">
        <v>168</v>
      </c>
      <c r="D18" s="105" t="s">
        <v>145</v>
      </c>
      <c r="E18" s="105" t="s">
        <v>57</v>
      </c>
    </row>
    <row r="21" spans="1:5" x14ac:dyDescent="0.25">
      <c r="A21" s="332" t="s">
        <v>101</v>
      </c>
      <c r="B21" s="332" t="s">
        <v>125</v>
      </c>
      <c r="C21" s="332"/>
      <c r="D21" s="332"/>
    </row>
    <row r="22" spans="1:5" x14ac:dyDescent="0.25">
      <c r="A22" s="332"/>
      <c r="B22" s="103" t="s">
        <v>126</v>
      </c>
      <c r="C22" s="103" t="s">
        <v>127</v>
      </c>
      <c r="D22" s="103" t="s">
        <v>128</v>
      </c>
    </row>
    <row r="23" spans="1:5" x14ac:dyDescent="0.25">
      <c r="A23" s="103">
        <v>2024</v>
      </c>
      <c r="B23" s="104">
        <v>0.96</v>
      </c>
      <c r="C23" s="104">
        <v>1.0062</v>
      </c>
      <c r="D23" s="104">
        <v>0.98</v>
      </c>
    </row>
    <row r="24" spans="1:5" x14ac:dyDescent="0.25">
      <c r="A24" s="103">
        <v>2025</v>
      </c>
      <c r="B24" s="104">
        <v>0.92110000000000003</v>
      </c>
      <c r="C24" s="104">
        <v>1.0123</v>
      </c>
      <c r="D24" s="104">
        <v>0.95</v>
      </c>
    </row>
    <row r="25" spans="1:5" x14ac:dyDescent="0.25">
      <c r="A25" s="103">
        <v>2026</v>
      </c>
      <c r="B25" s="104">
        <v>0.92379999999999995</v>
      </c>
      <c r="C25" s="104">
        <v>1.0125</v>
      </c>
      <c r="D25" s="104">
        <v>0.94899999999999995</v>
      </c>
    </row>
    <row r="26" spans="1:5" x14ac:dyDescent="0.25">
      <c r="A26" s="103">
        <v>2027</v>
      </c>
      <c r="B26" s="104">
        <v>0.88819999999999999</v>
      </c>
      <c r="C26" s="104">
        <v>1.0189999999999999</v>
      </c>
      <c r="D26" s="104">
        <v>0.92859999999999998</v>
      </c>
    </row>
    <row r="27" spans="1:5" x14ac:dyDescent="0.25">
      <c r="A27" s="103">
        <v>2028</v>
      </c>
      <c r="B27" s="104">
        <v>0.85250000000000004</v>
      </c>
      <c r="C27" s="104">
        <v>1.0254000000000001</v>
      </c>
      <c r="D27" s="104">
        <v>0.90820000000000001</v>
      </c>
    </row>
    <row r="28" spans="1:5" x14ac:dyDescent="0.25">
      <c r="A28" s="103">
        <v>2029</v>
      </c>
      <c r="B28" s="104">
        <v>0.81689999999999996</v>
      </c>
      <c r="C28" s="104">
        <v>1.0318000000000001</v>
      </c>
      <c r="D28" s="104">
        <v>0.88780000000000003</v>
      </c>
    </row>
    <row r="29" spans="1:5" x14ac:dyDescent="0.25">
      <c r="A29" s="103">
        <v>2030</v>
      </c>
      <c r="B29" s="104">
        <v>0.78129999999999999</v>
      </c>
      <c r="C29" s="104">
        <v>1.0382</v>
      </c>
      <c r="D29" s="104">
        <v>0.86729999999999996</v>
      </c>
    </row>
    <row r="30" spans="1:5" x14ac:dyDescent="0.25">
      <c r="A30" s="103">
        <v>2031</v>
      </c>
      <c r="B30" s="104">
        <v>0.75229999999999997</v>
      </c>
      <c r="C30" s="104">
        <v>1.0446</v>
      </c>
      <c r="D30" s="104">
        <v>0.84689999999999999</v>
      </c>
    </row>
    <row r="31" spans="1:5" x14ac:dyDescent="0.25">
      <c r="A31" s="103">
        <v>2032</v>
      </c>
      <c r="B31" s="104">
        <v>0.72340000000000004</v>
      </c>
      <c r="C31" s="104">
        <v>1.0510999999999999</v>
      </c>
      <c r="D31" s="104">
        <v>0.82650000000000001</v>
      </c>
    </row>
    <row r="32" spans="1:5" x14ac:dyDescent="0.25">
      <c r="A32" s="103">
        <v>2033</v>
      </c>
      <c r="B32" s="104">
        <v>0.69440000000000002</v>
      </c>
      <c r="C32" s="104">
        <v>1.0575000000000001</v>
      </c>
      <c r="D32" s="104">
        <v>0.80610000000000004</v>
      </c>
    </row>
    <row r="33" spans="1:17" x14ac:dyDescent="0.25">
      <c r="A33" s="103">
        <v>2034</v>
      </c>
      <c r="B33" s="104">
        <v>0.65780000000000005</v>
      </c>
      <c r="C33" s="104">
        <v>1.0618000000000001</v>
      </c>
      <c r="D33" s="104">
        <v>0.79020000000000001</v>
      </c>
    </row>
    <row r="34" spans="1:17" x14ac:dyDescent="0.25">
      <c r="A34" s="103">
        <v>2035</v>
      </c>
      <c r="B34" s="104">
        <v>0.62549999999999994</v>
      </c>
      <c r="C34" s="104">
        <v>1.0676000000000001</v>
      </c>
      <c r="D34" s="104">
        <v>0.7712</v>
      </c>
    </row>
    <row r="35" spans="1:17" x14ac:dyDescent="0.25">
      <c r="A35" s="103">
        <v>2036</v>
      </c>
      <c r="B35" s="104">
        <v>0.59319999999999995</v>
      </c>
      <c r="C35" s="104">
        <v>1.0733999999999999</v>
      </c>
      <c r="D35" s="104">
        <v>0.75209999999999999</v>
      </c>
    </row>
    <row r="36" spans="1:17" x14ac:dyDescent="0.25">
      <c r="A36" s="103">
        <v>2037</v>
      </c>
      <c r="B36" s="104">
        <v>0.56100000000000005</v>
      </c>
      <c r="C36" s="104">
        <v>1.0791999999999999</v>
      </c>
      <c r="D36" s="104">
        <v>0.73309999999999997</v>
      </c>
    </row>
    <row r="37" spans="1:17" x14ac:dyDescent="0.25">
      <c r="A37" s="103">
        <v>2038</v>
      </c>
      <c r="B37" s="104">
        <v>0.52869999999999995</v>
      </c>
      <c r="C37" s="104">
        <v>1.085</v>
      </c>
      <c r="D37" s="104">
        <v>0.71399999999999997</v>
      </c>
    </row>
    <row r="39" spans="1:17" x14ac:dyDescent="0.25">
      <c r="A39" s="332" t="s">
        <v>101</v>
      </c>
      <c r="B39" s="332"/>
      <c r="C39" s="103">
        <v>2024</v>
      </c>
      <c r="D39" s="103">
        <v>2025</v>
      </c>
      <c r="E39" s="103">
        <v>2026</v>
      </c>
      <c r="F39" s="103">
        <v>2027</v>
      </c>
      <c r="G39" s="103">
        <v>2028</v>
      </c>
      <c r="H39" s="103">
        <v>2029</v>
      </c>
      <c r="I39" s="103">
        <v>2030</v>
      </c>
      <c r="J39" s="103">
        <v>2031</v>
      </c>
      <c r="K39" s="103">
        <v>2032</v>
      </c>
      <c r="L39" s="103">
        <v>2033</v>
      </c>
      <c r="M39" s="103">
        <v>2034</v>
      </c>
      <c r="N39" s="103">
        <v>2035</v>
      </c>
      <c r="O39" s="103">
        <v>2036</v>
      </c>
      <c r="P39" s="103">
        <v>2037</v>
      </c>
      <c r="Q39" s="103">
        <v>2038</v>
      </c>
    </row>
    <row r="40" spans="1:17" x14ac:dyDescent="0.25">
      <c r="A40" s="102"/>
      <c r="B40" s="102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1:17" x14ac:dyDescent="0.25">
      <c r="A41" s="332" t="s">
        <v>125</v>
      </c>
      <c r="B41" s="108" t="s">
        <v>83</v>
      </c>
      <c r="C41" s="108" t="s">
        <v>129</v>
      </c>
      <c r="D41" s="108" t="s">
        <v>130</v>
      </c>
      <c r="E41" s="108" t="s">
        <v>131</v>
      </c>
      <c r="F41" s="108" t="s">
        <v>132</v>
      </c>
      <c r="G41" s="108" t="s">
        <v>133</v>
      </c>
      <c r="H41" s="108" t="s">
        <v>134</v>
      </c>
      <c r="I41" s="108" t="s">
        <v>135</v>
      </c>
      <c r="J41" s="108" t="s">
        <v>136</v>
      </c>
      <c r="K41" s="108" t="s">
        <v>137</v>
      </c>
      <c r="L41" s="108" t="s">
        <v>138</v>
      </c>
      <c r="M41" s="108" t="s">
        <v>139</v>
      </c>
      <c r="N41" s="108" t="s">
        <v>140</v>
      </c>
      <c r="O41" s="108" t="s">
        <v>141</v>
      </c>
      <c r="P41" s="108" t="s">
        <v>142</v>
      </c>
      <c r="Q41" s="108" t="s">
        <v>143</v>
      </c>
    </row>
    <row r="42" spans="1:17" x14ac:dyDescent="0.25">
      <c r="A42" s="332"/>
      <c r="B42" s="107" t="s">
        <v>126</v>
      </c>
      <c r="C42" s="111">
        <v>0.96</v>
      </c>
      <c r="D42" s="111">
        <v>0.92110000000000003</v>
      </c>
      <c r="E42" s="111">
        <v>0.92379999999999995</v>
      </c>
      <c r="F42" s="111">
        <v>0.88819999999999999</v>
      </c>
      <c r="G42" s="111">
        <v>0.85250000000000004</v>
      </c>
      <c r="H42" s="111">
        <v>0.81689999999999996</v>
      </c>
      <c r="I42" s="111">
        <v>0.78129999999999999</v>
      </c>
      <c r="J42" s="111">
        <v>0.75229999999999997</v>
      </c>
      <c r="K42" s="111">
        <v>0.72340000000000004</v>
      </c>
      <c r="L42" s="111">
        <v>0.69440000000000002</v>
      </c>
      <c r="M42" s="111">
        <v>0.65780000000000005</v>
      </c>
      <c r="N42" s="111">
        <v>0.62549999999999994</v>
      </c>
      <c r="O42" s="111">
        <v>0.59319999999999995</v>
      </c>
      <c r="P42" s="111">
        <v>0.56100000000000005</v>
      </c>
      <c r="Q42" s="111">
        <v>0.52869999999999995</v>
      </c>
    </row>
    <row r="43" spans="1:17" x14ac:dyDescent="0.25">
      <c r="A43" s="332"/>
      <c r="B43" s="107" t="s">
        <v>127</v>
      </c>
      <c r="C43" s="110">
        <v>1.0062</v>
      </c>
      <c r="D43" s="110">
        <v>1.0123</v>
      </c>
      <c r="E43" s="110">
        <v>1.0125</v>
      </c>
      <c r="F43" s="110">
        <v>1.0189999999999999</v>
      </c>
      <c r="G43" s="110">
        <v>1.0254000000000001</v>
      </c>
      <c r="H43" s="110">
        <v>1.0318000000000001</v>
      </c>
      <c r="I43" s="110">
        <v>1.0382</v>
      </c>
      <c r="J43" s="110">
        <v>1.0446</v>
      </c>
      <c r="K43" s="110">
        <v>1.0510999999999999</v>
      </c>
      <c r="L43" s="110">
        <v>1.0575000000000001</v>
      </c>
      <c r="M43" s="110">
        <v>1.0618000000000001</v>
      </c>
      <c r="N43" s="110">
        <v>1.0676000000000001</v>
      </c>
      <c r="O43" s="110">
        <v>1.0733999999999999</v>
      </c>
      <c r="P43" s="110">
        <v>1.0791999999999999</v>
      </c>
      <c r="Q43" s="110">
        <v>1.085</v>
      </c>
    </row>
    <row r="44" spans="1:17" x14ac:dyDescent="0.25">
      <c r="B44" s="109" t="s">
        <v>128</v>
      </c>
      <c r="C44" s="112">
        <v>0.98</v>
      </c>
      <c r="D44" s="112">
        <v>0.95</v>
      </c>
      <c r="E44" s="112">
        <v>0.94899999999999995</v>
      </c>
      <c r="F44" s="112">
        <v>0.92859999999999998</v>
      </c>
      <c r="G44" s="112">
        <v>0.90820000000000001</v>
      </c>
      <c r="H44" s="112">
        <v>0.88780000000000003</v>
      </c>
      <c r="I44" s="112">
        <v>0.86729999999999996</v>
      </c>
      <c r="J44" s="112">
        <v>0.84689999999999999</v>
      </c>
      <c r="K44" s="112">
        <v>0.82650000000000001</v>
      </c>
      <c r="L44" s="112">
        <v>0.80610000000000004</v>
      </c>
      <c r="M44" s="112">
        <v>0.79020000000000001</v>
      </c>
      <c r="N44" s="112">
        <v>0.7712</v>
      </c>
      <c r="O44" s="112">
        <v>0.75209999999999999</v>
      </c>
      <c r="P44" s="112">
        <v>0.73309999999999997</v>
      </c>
      <c r="Q44" s="112">
        <v>0.71399999999999997</v>
      </c>
    </row>
    <row r="45" spans="1:17" x14ac:dyDescent="0.25">
      <c r="B45" s="109" t="s">
        <v>145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</row>
  </sheetData>
  <mergeCells count="4">
    <mergeCell ref="A21:A22"/>
    <mergeCell ref="B21:D21"/>
    <mergeCell ref="A39:B39"/>
    <mergeCell ref="A41:A43"/>
  </mergeCells>
  <phoneticPr fontId="3" type="noConversion"/>
  <dataValidations count="1">
    <dataValidation type="list" allowBlank="1" showInputMessage="1" showErrorMessage="1" errorTitle="Invalid Entry!" promptTitle="Renewable" sqref="A3:A5" xr:uid="{B8D4A8E2-51C8-470D-8816-1B958FE8461C}">
      <formula1>$A$4:$A$5</formula1>
    </dataValidation>
  </dataValidations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44A87-DAC7-419D-9EC2-2532ECD46AD1}">
  <dimension ref="A1:Z60"/>
  <sheetViews>
    <sheetView showGridLines="0" zoomScale="80" zoomScaleNormal="80" workbookViewId="0">
      <selection activeCell="B12" sqref="B12"/>
    </sheetView>
  </sheetViews>
  <sheetFormatPr defaultRowHeight="13.8" x14ac:dyDescent="0.25"/>
  <cols>
    <col min="1" max="1" width="4.44140625" style="66" customWidth="1"/>
    <col min="2" max="2" width="48" style="66" customWidth="1"/>
    <col min="3" max="3" width="16.44140625" style="66" customWidth="1"/>
    <col min="4" max="4" width="11.33203125" style="66" customWidth="1"/>
    <col min="5" max="5" width="16.44140625" style="66" customWidth="1"/>
    <col min="6" max="6" width="11.33203125" style="66" customWidth="1"/>
    <col min="7" max="7" width="16.44140625" style="66" customWidth="1"/>
    <col min="8" max="8" width="11.33203125" style="66" customWidth="1"/>
    <col min="9" max="9" width="16.44140625" style="66" customWidth="1"/>
    <col min="10" max="10" width="11.33203125" style="66" customWidth="1"/>
    <col min="11" max="11" width="16.44140625" style="66" customWidth="1"/>
    <col min="12" max="12" width="11.33203125" style="66" customWidth="1"/>
    <col min="13" max="13" width="16.44140625" style="66" customWidth="1"/>
    <col min="14" max="14" width="11.33203125" style="66" customWidth="1"/>
    <col min="15" max="15" width="16.44140625" style="66" customWidth="1"/>
    <col min="16" max="16" width="11.33203125" style="66" customWidth="1"/>
    <col min="17" max="17" width="16.44140625" style="66" customWidth="1"/>
    <col min="18" max="18" width="11.33203125" style="66" customWidth="1"/>
    <col min="19" max="19" width="16.44140625" style="66" customWidth="1"/>
    <col min="20" max="20" width="11.33203125" style="66" customWidth="1"/>
    <col min="21" max="21" width="16.44140625" style="66" customWidth="1"/>
    <col min="22" max="22" width="11.33203125" style="66" customWidth="1"/>
    <col min="23" max="23" width="16.44140625" style="66" customWidth="1"/>
    <col min="24" max="24" width="11.33203125" style="66" customWidth="1"/>
    <col min="25" max="25" width="16.44140625" style="66" customWidth="1"/>
    <col min="26" max="26" width="11.33203125" style="66" customWidth="1"/>
    <col min="27" max="16384" width="8.88671875" style="66"/>
  </cols>
  <sheetData>
    <row r="1" spans="1:26" x14ac:dyDescent="0.25">
      <c r="A1" s="67" t="s">
        <v>84</v>
      </c>
      <c r="E1" s="138"/>
      <c r="F1" s="95" t="s">
        <v>107</v>
      </c>
    </row>
    <row r="3" spans="1:26" ht="15.6" thickBot="1" x14ac:dyDescent="0.3">
      <c r="A3" s="88" t="s">
        <v>105</v>
      </c>
    </row>
    <row r="4" spans="1:26" s="67" customFormat="1" ht="14.4" customHeight="1" x14ac:dyDescent="0.25">
      <c r="A4" s="335" t="s">
        <v>101</v>
      </c>
      <c r="B4" s="336"/>
      <c r="C4" s="354">
        <v>2023</v>
      </c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6"/>
      <c r="Q4" s="351">
        <v>2024</v>
      </c>
      <c r="R4" s="352"/>
      <c r="S4" s="352"/>
      <c r="T4" s="352"/>
      <c r="U4" s="352"/>
      <c r="V4" s="352"/>
      <c r="W4" s="352"/>
      <c r="X4" s="352"/>
      <c r="Y4" s="352"/>
      <c r="Z4" s="353"/>
    </row>
    <row r="5" spans="1:26" s="67" customFormat="1" x14ac:dyDescent="0.25">
      <c r="A5" s="337" t="s">
        <v>100</v>
      </c>
      <c r="B5" s="338"/>
      <c r="C5" s="115" t="s">
        <v>93</v>
      </c>
      <c r="D5" s="114"/>
      <c r="E5" s="114" t="s">
        <v>94</v>
      </c>
      <c r="F5" s="114"/>
      <c r="G5" s="114" t="s">
        <v>95</v>
      </c>
      <c r="H5" s="114"/>
      <c r="I5" s="114" t="s">
        <v>96</v>
      </c>
      <c r="J5" s="114"/>
      <c r="K5" s="114" t="s">
        <v>97</v>
      </c>
      <c r="L5" s="114"/>
      <c r="M5" s="114" t="s">
        <v>98</v>
      </c>
      <c r="N5" s="114"/>
      <c r="O5" s="114" t="s">
        <v>99</v>
      </c>
      <c r="P5" s="116"/>
      <c r="Q5" s="115" t="s">
        <v>87</v>
      </c>
      <c r="R5" s="114"/>
      <c r="S5" s="357" t="s">
        <v>89</v>
      </c>
      <c r="T5" s="357"/>
      <c r="U5" s="357" t="s">
        <v>90</v>
      </c>
      <c r="V5" s="357"/>
      <c r="W5" s="357" t="s">
        <v>91</v>
      </c>
      <c r="X5" s="357"/>
      <c r="Y5" s="357" t="s">
        <v>92</v>
      </c>
      <c r="Z5" s="358"/>
    </row>
    <row r="6" spans="1:26" s="67" customFormat="1" ht="14.4" thickBot="1" x14ac:dyDescent="0.3">
      <c r="A6" s="339" t="s">
        <v>171</v>
      </c>
      <c r="B6" s="340"/>
      <c r="C6" s="172">
        <v>39432000</v>
      </c>
      <c r="D6" s="68" t="s">
        <v>88</v>
      </c>
      <c r="E6" s="173">
        <v>38160000</v>
      </c>
      <c r="F6" s="68" t="s">
        <v>88</v>
      </c>
      <c r="G6" s="173">
        <v>39432000</v>
      </c>
      <c r="H6" s="68" t="s">
        <v>88</v>
      </c>
      <c r="I6" s="173">
        <v>39432000</v>
      </c>
      <c r="J6" s="68" t="s">
        <v>88</v>
      </c>
      <c r="K6" s="173">
        <v>38160000</v>
      </c>
      <c r="L6" s="68" t="s">
        <v>88</v>
      </c>
      <c r="M6" s="173">
        <v>39432000</v>
      </c>
      <c r="N6" s="68" t="s">
        <v>88</v>
      </c>
      <c r="O6" s="173">
        <v>38160000</v>
      </c>
      <c r="P6" s="69" t="s">
        <v>88</v>
      </c>
      <c r="Q6" s="172">
        <v>39432000</v>
      </c>
      <c r="R6" s="68" t="s">
        <v>88</v>
      </c>
      <c r="S6" s="173">
        <v>39432000</v>
      </c>
      <c r="T6" s="68" t="s">
        <v>88</v>
      </c>
      <c r="U6" s="173">
        <v>35616000</v>
      </c>
      <c r="V6" s="68" t="s">
        <v>88</v>
      </c>
      <c r="W6" s="173">
        <v>39432000</v>
      </c>
      <c r="X6" s="68" t="s">
        <v>88</v>
      </c>
      <c r="Y6" s="173">
        <v>38160000</v>
      </c>
      <c r="Z6" s="69" t="s">
        <v>88</v>
      </c>
    </row>
    <row r="7" spans="1:26" s="67" customFormat="1" ht="14.4" thickBot="1" x14ac:dyDescent="0.3">
      <c r="A7" s="333" t="s">
        <v>86</v>
      </c>
      <c r="B7" s="334"/>
      <c r="C7" s="156" t="s">
        <v>85</v>
      </c>
      <c r="D7" s="157" t="s">
        <v>15</v>
      </c>
      <c r="E7" s="157" t="s">
        <v>85</v>
      </c>
      <c r="F7" s="157" t="s">
        <v>15</v>
      </c>
      <c r="G7" s="157" t="s">
        <v>85</v>
      </c>
      <c r="H7" s="157" t="s">
        <v>15</v>
      </c>
      <c r="I7" s="157" t="s">
        <v>85</v>
      </c>
      <c r="J7" s="157" t="s">
        <v>15</v>
      </c>
      <c r="K7" s="157" t="s">
        <v>85</v>
      </c>
      <c r="L7" s="157" t="s">
        <v>15</v>
      </c>
      <c r="M7" s="157" t="s">
        <v>85</v>
      </c>
      <c r="N7" s="157" t="s">
        <v>15</v>
      </c>
      <c r="O7" s="157" t="s">
        <v>85</v>
      </c>
      <c r="P7" s="158" t="s">
        <v>15</v>
      </c>
      <c r="Q7" s="169" t="s">
        <v>85</v>
      </c>
      <c r="R7" s="170" t="s">
        <v>15</v>
      </c>
      <c r="S7" s="170" t="s">
        <v>85</v>
      </c>
      <c r="T7" s="170" t="s">
        <v>15</v>
      </c>
      <c r="U7" s="170" t="s">
        <v>85</v>
      </c>
      <c r="V7" s="170" t="s">
        <v>15</v>
      </c>
      <c r="W7" s="170" t="s">
        <v>85</v>
      </c>
      <c r="X7" s="170" t="s">
        <v>15</v>
      </c>
      <c r="Y7" s="170" t="s">
        <v>85</v>
      </c>
      <c r="Z7" s="171" t="s">
        <v>15</v>
      </c>
    </row>
    <row r="8" spans="1:26" x14ac:dyDescent="0.25">
      <c r="A8" s="70">
        <v>1</v>
      </c>
      <c r="B8" s="139"/>
      <c r="C8" s="140">
        <v>200000</v>
      </c>
      <c r="D8" s="81">
        <f>C8/C$6</f>
        <v>5.0720227226617974E-3</v>
      </c>
      <c r="E8" s="145">
        <v>200000</v>
      </c>
      <c r="F8" s="81">
        <f>E8/E$6</f>
        <v>5.2410901467505244E-3</v>
      </c>
      <c r="G8" s="145">
        <v>200000</v>
      </c>
      <c r="H8" s="81">
        <f>G8/G$6</f>
        <v>5.0720227226617974E-3</v>
      </c>
      <c r="I8" s="145">
        <v>200000</v>
      </c>
      <c r="J8" s="81">
        <f>I8/I$6</f>
        <v>5.0720227226617974E-3</v>
      </c>
      <c r="K8" s="145">
        <v>200000</v>
      </c>
      <c r="L8" s="81">
        <f>K8/K$6</f>
        <v>5.2410901467505244E-3</v>
      </c>
      <c r="M8" s="145">
        <v>200000</v>
      </c>
      <c r="N8" s="81">
        <f>M8/M$6</f>
        <v>5.0720227226617974E-3</v>
      </c>
      <c r="O8" s="145">
        <v>200000</v>
      </c>
      <c r="P8" s="89">
        <f>O8/O$6</f>
        <v>5.2410901467505244E-3</v>
      </c>
      <c r="Q8" s="164">
        <v>200000</v>
      </c>
      <c r="R8" s="162">
        <f>Q8/Q$6</f>
        <v>5.0720227226617974E-3</v>
      </c>
      <c r="S8" s="161">
        <v>200000</v>
      </c>
      <c r="T8" s="163">
        <f>S8/S$6</f>
        <v>5.0720227226617974E-3</v>
      </c>
      <c r="U8" s="166">
        <v>200000</v>
      </c>
      <c r="V8" s="162">
        <f>U8/U$6</f>
        <v>5.6154537286612757E-3</v>
      </c>
      <c r="W8" s="161">
        <v>200000</v>
      </c>
      <c r="X8" s="162">
        <f>W8/W$6</f>
        <v>5.0720227226617974E-3</v>
      </c>
      <c r="Y8" s="161">
        <v>200000</v>
      </c>
      <c r="Z8" s="165">
        <f>Y8/Y$6</f>
        <v>5.2410901467505244E-3</v>
      </c>
    </row>
    <row r="9" spans="1:26" x14ac:dyDescent="0.25">
      <c r="A9" s="71">
        <v>2</v>
      </c>
      <c r="B9" s="141"/>
      <c r="C9" s="142"/>
      <c r="D9" s="82">
        <f t="shared" ref="D9:F27" si="0">C9/C$6</f>
        <v>0</v>
      </c>
      <c r="E9" s="146"/>
      <c r="F9" s="82">
        <f t="shared" si="0"/>
        <v>0</v>
      </c>
      <c r="G9" s="146"/>
      <c r="H9" s="82">
        <f t="shared" ref="H9" si="1">G9/G$6</f>
        <v>0</v>
      </c>
      <c r="I9" s="146"/>
      <c r="J9" s="82">
        <f t="shared" ref="J9" si="2">I9/I$6</f>
        <v>0</v>
      </c>
      <c r="K9" s="146"/>
      <c r="L9" s="82">
        <f t="shared" ref="L9" si="3">K9/K$6</f>
        <v>0</v>
      </c>
      <c r="M9" s="146"/>
      <c r="N9" s="82">
        <f t="shared" ref="N9" si="4">M9/M$6</f>
        <v>0</v>
      </c>
      <c r="O9" s="146"/>
      <c r="P9" s="90">
        <f t="shared" ref="P9" si="5">O9/O$6</f>
        <v>0</v>
      </c>
      <c r="Q9" s="142"/>
      <c r="R9" s="82">
        <f t="shared" ref="R9" si="6">Q9/Q$6</f>
        <v>0</v>
      </c>
      <c r="S9" s="146"/>
      <c r="T9" s="90">
        <f t="shared" ref="T9" si="7">S9/S$6</f>
        <v>0</v>
      </c>
      <c r="U9" s="146"/>
      <c r="V9" s="82">
        <f t="shared" ref="V9" si="8">U9/U$6</f>
        <v>0</v>
      </c>
      <c r="W9" s="146"/>
      <c r="X9" s="82">
        <f t="shared" ref="X9" si="9">W9/W$6</f>
        <v>0</v>
      </c>
      <c r="Y9" s="146"/>
      <c r="Z9" s="84">
        <f t="shared" ref="Z9" si="10">Y9/Y$6</f>
        <v>0</v>
      </c>
    </row>
    <row r="10" spans="1:26" x14ac:dyDescent="0.25">
      <c r="A10" s="71">
        <v>3</v>
      </c>
      <c r="B10" s="141"/>
      <c r="C10" s="142"/>
      <c r="D10" s="82">
        <f t="shared" si="0"/>
        <v>0</v>
      </c>
      <c r="E10" s="146"/>
      <c r="F10" s="82">
        <f t="shared" si="0"/>
        <v>0</v>
      </c>
      <c r="G10" s="146"/>
      <c r="H10" s="82">
        <f t="shared" ref="H10" si="11">G10/G$6</f>
        <v>0</v>
      </c>
      <c r="I10" s="146"/>
      <c r="J10" s="82">
        <f t="shared" ref="J10" si="12">I10/I$6</f>
        <v>0</v>
      </c>
      <c r="K10" s="146"/>
      <c r="L10" s="82">
        <f t="shared" ref="L10" si="13">K10/K$6</f>
        <v>0</v>
      </c>
      <c r="M10" s="146"/>
      <c r="N10" s="82">
        <f t="shared" ref="N10" si="14">M10/M$6</f>
        <v>0</v>
      </c>
      <c r="O10" s="146"/>
      <c r="P10" s="90">
        <f t="shared" ref="P10" si="15">O10/O$6</f>
        <v>0</v>
      </c>
      <c r="Q10" s="142"/>
      <c r="R10" s="82">
        <f t="shared" ref="R10" si="16">Q10/Q$6</f>
        <v>0</v>
      </c>
      <c r="S10" s="146"/>
      <c r="T10" s="90">
        <f t="shared" ref="T10" si="17">S10/S$6</f>
        <v>0</v>
      </c>
      <c r="U10" s="146"/>
      <c r="V10" s="82">
        <f t="shared" ref="V10" si="18">U10/U$6</f>
        <v>0</v>
      </c>
      <c r="W10" s="146"/>
      <c r="X10" s="82">
        <f t="shared" ref="X10" si="19">W10/W$6</f>
        <v>0</v>
      </c>
      <c r="Y10" s="146"/>
      <c r="Z10" s="84">
        <f t="shared" ref="Z10" si="20">Y10/Y$6</f>
        <v>0</v>
      </c>
    </row>
    <row r="11" spans="1:26" x14ac:dyDescent="0.25">
      <c r="A11" s="71">
        <v>4</v>
      </c>
      <c r="B11" s="141"/>
      <c r="C11" s="142"/>
      <c r="D11" s="82">
        <f t="shared" si="0"/>
        <v>0</v>
      </c>
      <c r="E11" s="146"/>
      <c r="F11" s="82">
        <f t="shared" si="0"/>
        <v>0</v>
      </c>
      <c r="G11" s="146"/>
      <c r="H11" s="82">
        <f t="shared" ref="H11" si="21">G11/G$6</f>
        <v>0</v>
      </c>
      <c r="I11" s="146"/>
      <c r="J11" s="82">
        <f t="shared" ref="J11" si="22">I11/I$6</f>
        <v>0</v>
      </c>
      <c r="K11" s="146"/>
      <c r="L11" s="82">
        <f t="shared" ref="L11" si="23">K11/K$6</f>
        <v>0</v>
      </c>
      <c r="M11" s="146"/>
      <c r="N11" s="82">
        <f t="shared" ref="N11" si="24">M11/M$6</f>
        <v>0</v>
      </c>
      <c r="O11" s="146"/>
      <c r="P11" s="90">
        <f t="shared" ref="P11" si="25">O11/O$6</f>
        <v>0</v>
      </c>
      <c r="Q11" s="142"/>
      <c r="R11" s="82">
        <f t="shared" ref="R11" si="26">Q11/Q$6</f>
        <v>0</v>
      </c>
      <c r="S11" s="146"/>
      <c r="T11" s="90">
        <f t="shared" ref="T11" si="27">S11/S$6</f>
        <v>0</v>
      </c>
      <c r="U11" s="146"/>
      <c r="V11" s="82">
        <f t="shared" ref="V11" si="28">U11/U$6</f>
        <v>0</v>
      </c>
      <c r="W11" s="146"/>
      <c r="X11" s="82">
        <f t="shared" ref="X11" si="29">W11/W$6</f>
        <v>0</v>
      </c>
      <c r="Y11" s="146"/>
      <c r="Z11" s="84">
        <f t="shared" ref="Z11" si="30">Y11/Y$6</f>
        <v>0</v>
      </c>
    </row>
    <row r="12" spans="1:26" x14ac:dyDescent="0.25">
      <c r="A12" s="71">
        <v>5</v>
      </c>
      <c r="B12" s="141"/>
      <c r="C12" s="142"/>
      <c r="D12" s="82">
        <f t="shared" si="0"/>
        <v>0</v>
      </c>
      <c r="E12" s="146"/>
      <c r="F12" s="82">
        <f t="shared" si="0"/>
        <v>0</v>
      </c>
      <c r="G12" s="146"/>
      <c r="H12" s="82">
        <f t="shared" ref="H12" si="31">G12/G$6</f>
        <v>0</v>
      </c>
      <c r="I12" s="146"/>
      <c r="J12" s="82">
        <f t="shared" ref="J12" si="32">I12/I$6</f>
        <v>0</v>
      </c>
      <c r="K12" s="146"/>
      <c r="L12" s="82">
        <f t="shared" ref="L12" si="33">K12/K$6</f>
        <v>0</v>
      </c>
      <c r="M12" s="146"/>
      <c r="N12" s="82">
        <f t="shared" ref="N12" si="34">M12/M$6</f>
        <v>0</v>
      </c>
      <c r="O12" s="146"/>
      <c r="P12" s="90">
        <f t="shared" ref="P12" si="35">O12/O$6</f>
        <v>0</v>
      </c>
      <c r="Q12" s="142"/>
      <c r="R12" s="82">
        <f t="shared" ref="R12" si="36">Q12/Q$6</f>
        <v>0</v>
      </c>
      <c r="S12" s="146"/>
      <c r="T12" s="90">
        <f t="shared" ref="T12" si="37">S12/S$6</f>
        <v>0</v>
      </c>
      <c r="U12" s="146"/>
      <c r="V12" s="82">
        <f t="shared" ref="V12" si="38">U12/U$6</f>
        <v>0</v>
      </c>
      <c r="W12" s="146"/>
      <c r="X12" s="82">
        <f t="shared" ref="X12" si="39">W12/W$6</f>
        <v>0</v>
      </c>
      <c r="Y12" s="146"/>
      <c r="Z12" s="84">
        <f t="shared" ref="Z12" si="40">Y12/Y$6</f>
        <v>0</v>
      </c>
    </row>
    <row r="13" spans="1:26" x14ac:dyDescent="0.25">
      <c r="A13" s="71">
        <v>6</v>
      </c>
      <c r="B13" s="141"/>
      <c r="C13" s="142"/>
      <c r="D13" s="82">
        <f t="shared" si="0"/>
        <v>0</v>
      </c>
      <c r="E13" s="146"/>
      <c r="F13" s="82">
        <f t="shared" si="0"/>
        <v>0</v>
      </c>
      <c r="G13" s="146"/>
      <c r="H13" s="82">
        <f t="shared" ref="H13" si="41">G13/G$6</f>
        <v>0</v>
      </c>
      <c r="I13" s="146"/>
      <c r="J13" s="82">
        <f t="shared" ref="J13" si="42">I13/I$6</f>
        <v>0</v>
      </c>
      <c r="K13" s="146"/>
      <c r="L13" s="82">
        <f t="shared" ref="L13" si="43">K13/K$6</f>
        <v>0</v>
      </c>
      <c r="M13" s="146"/>
      <c r="N13" s="82">
        <f t="shared" ref="N13" si="44">M13/M$6</f>
        <v>0</v>
      </c>
      <c r="O13" s="146"/>
      <c r="P13" s="90">
        <f t="shared" ref="P13" si="45">O13/O$6</f>
        <v>0</v>
      </c>
      <c r="Q13" s="142"/>
      <c r="R13" s="82">
        <f t="shared" ref="R13" si="46">Q13/Q$6</f>
        <v>0</v>
      </c>
      <c r="S13" s="146"/>
      <c r="T13" s="90">
        <f t="shared" ref="T13" si="47">S13/S$6</f>
        <v>0</v>
      </c>
      <c r="U13" s="146"/>
      <c r="V13" s="82">
        <f t="shared" ref="V13" si="48">U13/U$6</f>
        <v>0</v>
      </c>
      <c r="W13" s="146"/>
      <c r="X13" s="82">
        <f t="shared" ref="X13" si="49">W13/W$6</f>
        <v>0</v>
      </c>
      <c r="Y13" s="146"/>
      <c r="Z13" s="84">
        <f t="shared" ref="Z13" si="50">Y13/Y$6</f>
        <v>0</v>
      </c>
    </row>
    <row r="14" spans="1:26" x14ac:dyDescent="0.25">
      <c r="A14" s="71">
        <v>7</v>
      </c>
      <c r="B14" s="141"/>
      <c r="C14" s="142"/>
      <c r="D14" s="82">
        <f t="shared" si="0"/>
        <v>0</v>
      </c>
      <c r="E14" s="146"/>
      <c r="F14" s="82">
        <f t="shared" si="0"/>
        <v>0</v>
      </c>
      <c r="G14" s="146"/>
      <c r="H14" s="82">
        <f t="shared" ref="H14" si="51">G14/G$6</f>
        <v>0</v>
      </c>
      <c r="I14" s="146"/>
      <c r="J14" s="82">
        <f t="shared" ref="J14" si="52">I14/I$6</f>
        <v>0</v>
      </c>
      <c r="K14" s="146"/>
      <c r="L14" s="82">
        <f t="shared" ref="L14" si="53">K14/K$6</f>
        <v>0</v>
      </c>
      <c r="M14" s="146"/>
      <c r="N14" s="82">
        <f t="shared" ref="N14" si="54">M14/M$6</f>
        <v>0</v>
      </c>
      <c r="O14" s="146"/>
      <c r="P14" s="90">
        <f t="shared" ref="P14" si="55">O14/O$6</f>
        <v>0</v>
      </c>
      <c r="Q14" s="142"/>
      <c r="R14" s="82">
        <f t="shared" ref="R14" si="56">Q14/Q$6</f>
        <v>0</v>
      </c>
      <c r="S14" s="146"/>
      <c r="T14" s="90">
        <f t="shared" ref="T14" si="57">S14/S$6</f>
        <v>0</v>
      </c>
      <c r="U14" s="146"/>
      <c r="V14" s="82">
        <f t="shared" ref="V14" si="58">U14/U$6</f>
        <v>0</v>
      </c>
      <c r="W14" s="146"/>
      <c r="X14" s="82">
        <f t="shared" ref="X14" si="59">W14/W$6</f>
        <v>0</v>
      </c>
      <c r="Y14" s="146"/>
      <c r="Z14" s="84">
        <f t="shared" ref="Z14" si="60">Y14/Y$6</f>
        <v>0</v>
      </c>
    </row>
    <row r="15" spans="1:26" x14ac:dyDescent="0.25">
      <c r="A15" s="71">
        <v>8</v>
      </c>
      <c r="B15" s="141"/>
      <c r="C15" s="142"/>
      <c r="D15" s="82">
        <f t="shared" si="0"/>
        <v>0</v>
      </c>
      <c r="E15" s="146"/>
      <c r="F15" s="82">
        <f t="shared" si="0"/>
        <v>0</v>
      </c>
      <c r="G15" s="146"/>
      <c r="H15" s="82">
        <f t="shared" ref="H15" si="61">G15/G$6</f>
        <v>0</v>
      </c>
      <c r="I15" s="146"/>
      <c r="J15" s="82">
        <f t="shared" ref="J15" si="62">I15/I$6</f>
        <v>0</v>
      </c>
      <c r="K15" s="146"/>
      <c r="L15" s="82">
        <f t="shared" ref="L15" si="63">K15/K$6</f>
        <v>0</v>
      </c>
      <c r="M15" s="146"/>
      <c r="N15" s="82">
        <f t="shared" ref="N15" si="64">M15/M$6</f>
        <v>0</v>
      </c>
      <c r="O15" s="146"/>
      <c r="P15" s="90">
        <f t="shared" ref="P15" si="65">O15/O$6</f>
        <v>0</v>
      </c>
      <c r="Q15" s="142"/>
      <c r="R15" s="82">
        <f t="shared" ref="R15" si="66">Q15/Q$6</f>
        <v>0</v>
      </c>
      <c r="S15" s="146"/>
      <c r="T15" s="90">
        <f t="shared" ref="T15" si="67">S15/S$6</f>
        <v>0</v>
      </c>
      <c r="U15" s="146"/>
      <c r="V15" s="82">
        <f t="shared" ref="V15" si="68">U15/U$6</f>
        <v>0</v>
      </c>
      <c r="W15" s="146"/>
      <c r="X15" s="82">
        <f t="shared" ref="X15" si="69">W15/W$6</f>
        <v>0</v>
      </c>
      <c r="Y15" s="146"/>
      <c r="Z15" s="84">
        <f t="shared" ref="Z15" si="70">Y15/Y$6</f>
        <v>0</v>
      </c>
    </row>
    <row r="16" spans="1:26" x14ac:dyDescent="0.25">
      <c r="A16" s="71">
        <v>9</v>
      </c>
      <c r="B16" s="141"/>
      <c r="C16" s="142"/>
      <c r="D16" s="82">
        <f t="shared" si="0"/>
        <v>0</v>
      </c>
      <c r="E16" s="146"/>
      <c r="F16" s="82">
        <f t="shared" si="0"/>
        <v>0</v>
      </c>
      <c r="G16" s="146"/>
      <c r="H16" s="82">
        <f t="shared" ref="H16" si="71">G16/G$6</f>
        <v>0</v>
      </c>
      <c r="I16" s="146"/>
      <c r="J16" s="82">
        <f t="shared" ref="J16" si="72">I16/I$6</f>
        <v>0</v>
      </c>
      <c r="K16" s="146"/>
      <c r="L16" s="82">
        <f t="shared" ref="L16" si="73">K16/K$6</f>
        <v>0</v>
      </c>
      <c r="M16" s="146"/>
      <c r="N16" s="82">
        <f t="shared" ref="N16" si="74">M16/M$6</f>
        <v>0</v>
      </c>
      <c r="O16" s="146"/>
      <c r="P16" s="90">
        <f t="shared" ref="P16" si="75">O16/O$6</f>
        <v>0</v>
      </c>
      <c r="Q16" s="142"/>
      <c r="R16" s="82">
        <f t="shared" ref="R16" si="76">Q16/Q$6</f>
        <v>0</v>
      </c>
      <c r="S16" s="146"/>
      <c r="T16" s="90">
        <f t="shared" ref="T16" si="77">S16/S$6</f>
        <v>0</v>
      </c>
      <c r="U16" s="146"/>
      <c r="V16" s="82">
        <f t="shared" ref="V16" si="78">U16/U$6</f>
        <v>0</v>
      </c>
      <c r="W16" s="146"/>
      <c r="X16" s="82">
        <f t="shared" ref="X16" si="79">W16/W$6</f>
        <v>0</v>
      </c>
      <c r="Y16" s="146"/>
      <c r="Z16" s="84">
        <f t="shared" ref="Z16" si="80">Y16/Y$6</f>
        <v>0</v>
      </c>
    </row>
    <row r="17" spans="1:26" x14ac:dyDescent="0.25">
      <c r="A17" s="71">
        <v>10</v>
      </c>
      <c r="B17" s="141"/>
      <c r="C17" s="142"/>
      <c r="D17" s="82">
        <f t="shared" si="0"/>
        <v>0</v>
      </c>
      <c r="E17" s="146"/>
      <c r="F17" s="82">
        <f t="shared" si="0"/>
        <v>0</v>
      </c>
      <c r="G17" s="146"/>
      <c r="H17" s="82">
        <f t="shared" ref="H17" si="81">G17/G$6</f>
        <v>0</v>
      </c>
      <c r="I17" s="146"/>
      <c r="J17" s="82">
        <f t="shared" ref="J17" si="82">I17/I$6</f>
        <v>0</v>
      </c>
      <c r="K17" s="146"/>
      <c r="L17" s="82">
        <f t="shared" ref="L17" si="83">K17/K$6</f>
        <v>0</v>
      </c>
      <c r="M17" s="146"/>
      <c r="N17" s="82">
        <f t="shared" ref="N17" si="84">M17/M$6</f>
        <v>0</v>
      </c>
      <c r="O17" s="146"/>
      <c r="P17" s="90">
        <f t="shared" ref="P17" si="85">O17/O$6</f>
        <v>0</v>
      </c>
      <c r="Q17" s="142"/>
      <c r="R17" s="82">
        <f t="shared" ref="R17" si="86">Q17/Q$6</f>
        <v>0</v>
      </c>
      <c r="S17" s="146"/>
      <c r="T17" s="90">
        <f t="shared" ref="T17" si="87">S17/S$6</f>
        <v>0</v>
      </c>
      <c r="U17" s="146"/>
      <c r="V17" s="82">
        <f t="shared" ref="V17" si="88">U17/U$6</f>
        <v>0</v>
      </c>
      <c r="W17" s="146"/>
      <c r="X17" s="82">
        <f t="shared" ref="X17" si="89">W17/W$6</f>
        <v>0</v>
      </c>
      <c r="Y17" s="146"/>
      <c r="Z17" s="84">
        <f t="shared" ref="Z17" si="90">Y17/Y$6</f>
        <v>0</v>
      </c>
    </row>
    <row r="18" spans="1:26" x14ac:dyDescent="0.25">
      <c r="A18" s="71">
        <v>11</v>
      </c>
      <c r="B18" s="141"/>
      <c r="C18" s="142"/>
      <c r="D18" s="82">
        <f t="shared" si="0"/>
        <v>0</v>
      </c>
      <c r="E18" s="146"/>
      <c r="F18" s="82">
        <f t="shared" si="0"/>
        <v>0</v>
      </c>
      <c r="G18" s="146"/>
      <c r="H18" s="82">
        <f t="shared" ref="H18" si="91">G18/G$6</f>
        <v>0</v>
      </c>
      <c r="I18" s="146"/>
      <c r="J18" s="82">
        <f t="shared" ref="J18" si="92">I18/I$6</f>
        <v>0</v>
      </c>
      <c r="K18" s="146"/>
      <c r="L18" s="82">
        <f t="shared" ref="L18" si="93">K18/K$6</f>
        <v>0</v>
      </c>
      <c r="M18" s="146"/>
      <c r="N18" s="82">
        <f t="shared" ref="N18" si="94">M18/M$6</f>
        <v>0</v>
      </c>
      <c r="O18" s="146"/>
      <c r="P18" s="90">
        <f t="shared" ref="P18" si="95">O18/O$6</f>
        <v>0</v>
      </c>
      <c r="Q18" s="142"/>
      <c r="R18" s="82">
        <f t="shared" ref="R18" si="96">Q18/Q$6</f>
        <v>0</v>
      </c>
      <c r="S18" s="146"/>
      <c r="T18" s="90">
        <f t="shared" ref="T18" si="97">S18/S$6</f>
        <v>0</v>
      </c>
      <c r="U18" s="146"/>
      <c r="V18" s="82">
        <f t="shared" ref="V18" si="98">U18/U$6</f>
        <v>0</v>
      </c>
      <c r="W18" s="146"/>
      <c r="X18" s="82">
        <f t="shared" ref="X18" si="99">W18/W$6</f>
        <v>0</v>
      </c>
      <c r="Y18" s="146"/>
      <c r="Z18" s="84">
        <f t="shared" ref="Z18" si="100">Y18/Y$6</f>
        <v>0</v>
      </c>
    </row>
    <row r="19" spans="1:26" x14ac:dyDescent="0.25">
      <c r="A19" s="71">
        <v>12</v>
      </c>
      <c r="B19" s="141"/>
      <c r="C19" s="142"/>
      <c r="D19" s="82">
        <f t="shared" si="0"/>
        <v>0</v>
      </c>
      <c r="E19" s="146"/>
      <c r="F19" s="82">
        <f t="shared" si="0"/>
        <v>0</v>
      </c>
      <c r="G19" s="146"/>
      <c r="H19" s="82">
        <f t="shared" ref="H19" si="101">G19/G$6</f>
        <v>0</v>
      </c>
      <c r="I19" s="146"/>
      <c r="J19" s="82">
        <f t="shared" ref="J19" si="102">I19/I$6</f>
        <v>0</v>
      </c>
      <c r="K19" s="146"/>
      <c r="L19" s="82">
        <f t="shared" ref="L19" si="103">K19/K$6</f>
        <v>0</v>
      </c>
      <c r="M19" s="146"/>
      <c r="N19" s="82">
        <f t="shared" ref="N19" si="104">M19/M$6</f>
        <v>0</v>
      </c>
      <c r="O19" s="146"/>
      <c r="P19" s="90">
        <f t="shared" ref="P19" si="105">O19/O$6</f>
        <v>0</v>
      </c>
      <c r="Q19" s="142"/>
      <c r="R19" s="82">
        <f t="shared" ref="R19" si="106">Q19/Q$6</f>
        <v>0</v>
      </c>
      <c r="S19" s="146"/>
      <c r="T19" s="90">
        <f t="shared" ref="T19" si="107">S19/S$6</f>
        <v>0</v>
      </c>
      <c r="U19" s="146"/>
      <c r="V19" s="82">
        <f t="shared" ref="V19" si="108">U19/U$6</f>
        <v>0</v>
      </c>
      <c r="W19" s="146"/>
      <c r="X19" s="82">
        <f t="shared" ref="X19" si="109">W19/W$6</f>
        <v>0</v>
      </c>
      <c r="Y19" s="146"/>
      <c r="Z19" s="84">
        <f t="shared" ref="Z19" si="110">Y19/Y$6</f>
        <v>0</v>
      </c>
    </row>
    <row r="20" spans="1:26" x14ac:dyDescent="0.25">
      <c r="A20" s="71">
        <v>13</v>
      </c>
      <c r="B20" s="141"/>
      <c r="C20" s="142"/>
      <c r="D20" s="82">
        <f t="shared" si="0"/>
        <v>0</v>
      </c>
      <c r="E20" s="146"/>
      <c r="F20" s="82">
        <f t="shared" si="0"/>
        <v>0</v>
      </c>
      <c r="G20" s="146"/>
      <c r="H20" s="82">
        <f t="shared" ref="H20" si="111">G20/G$6</f>
        <v>0</v>
      </c>
      <c r="I20" s="146"/>
      <c r="J20" s="82">
        <f t="shared" ref="J20" si="112">I20/I$6</f>
        <v>0</v>
      </c>
      <c r="K20" s="146"/>
      <c r="L20" s="82">
        <f t="shared" ref="L20" si="113">K20/K$6</f>
        <v>0</v>
      </c>
      <c r="M20" s="146"/>
      <c r="N20" s="82">
        <f t="shared" ref="N20" si="114">M20/M$6</f>
        <v>0</v>
      </c>
      <c r="O20" s="146"/>
      <c r="P20" s="90">
        <f t="shared" ref="P20" si="115">O20/O$6</f>
        <v>0</v>
      </c>
      <c r="Q20" s="142"/>
      <c r="R20" s="82">
        <f t="shared" ref="R20" si="116">Q20/Q$6</f>
        <v>0</v>
      </c>
      <c r="S20" s="146"/>
      <c r="T20" s="90">
        <f t="shared" ref="T20" si="117">S20/S$6</f>
        <v>0</v>
      </c>
      <c r="U20" s="146"/>
      <c r="V20" s="82">
        <f t="shared" ref="V20" si="118">U20/U$6</f>
        <v>0</v>
      </c>
      <c r="W20" s="146"/>
      <c r="X20" s="82">
        <f t="shared" ref="X20" si="119">W20/W$6</f>
        <v>0</v>
      </c>
      <c r="Y20" s="146"/>
      <c r="Z20" s="84">
        <f t="shared" ref="Z20" si="120">Y20/Y$6</f>
        <v>0</v>
      </c>
    </row>
    <row r="21" spans="1:26" x14ac:dyDescent="0.25">
      <c r="A21" s="71">
        <v>14</v>
      </c>
      <c r="B21" s="141"/>
      <c r="C21" s="142"/>
      <c r="D21" s="82">
        <f t="shared" si="0"/>
        <v>0</v>
      </c>
      <c r="E21" s="146"/>
      <c r="F21" s="82">
        <f t="shared" si="0"/>
        <v>0</v>
      </c>
      <c r="G21" s="146"/>
      <c r="H21" s="82">
        <f t="shared" ref="H21" si="121">G21/G$6</f>
        <v>0</v>
      </c>
      <c r="I21" s="146"/>
      <c r="J21" s="82">
        <f t="shared" ref="J21" si="122">I21/I$6</f>
        <v>0</v>
      </c>
      <c r="K21" s="146"/>
      <c r="L21" s="82">
        <f t="shared" ref="L21" si="123">K21/K$6</f>
        <v>0</v>
      </c>
      <c r="M21" s="146"/>
      <c r="N21" s="82">
        <f t="shared" ref="N21" si="124">M21/M$6</f>
        <v>0</v>
      </c>
      <c r="O21" s="146"/>
      <c r="P21" s="90">
        <f t="shared" ref="P21" si="125">O21/O$6</f>
        <v>0</v>
      </c>
      <c r="Q21" s="142"/>
      <c r="R21" s="82">
        <f t="shared" ref="R21" si="126">Q21/Q$6</f>
        <v>0</v>
      </c>
      <c r="S21" s="146"/>
      <c r="T21" s="90">
        <f t="shared" ref="T21" si="127">S21/S$6</f>
        <v>0</v>
      </c>
      <c r="U21" s="146"/>
      <c r="V21" s="82">
        <f t="shared" ref="V21" si="128">U21/U$6</f>
        <v>0</v>
      </c>
      <c r="W21" s="146"/>
      <c r="X21" s="82">
        <f t="shared" ref="X21" si="129">W21/W$6</f>
        <v>0</v>
      </c>
      <c r="Y21" s="146"/>
      <c r="Z21" s="84">
        <f t="shared" ref="Z21" si="130">Y21/Y$6</f>
        <v>0</v>
      </c>
    </row>
    <row r="22" spans="1:26" x14ac:dyDescent="0.25">
      <c r="A22" s="71">
        <v>15</v>
      </c>
      <c r="B22" s="141"/>
      <c r="C22" s="142"/>
      <c r="D22" s="82">
        <f t="shared" si="0"/>
        <v>0</v>
      </c>
      <c r="E22" s="146"/>
      <c r="F22" s="82">
        <f t="shared" si="0"/>
        <v>0</v>
      </c>
      <c r="G22" s="146"/>
      <c r="H22" s="82">
        <f t="shared" ref="H22" si="131">G22/G$6</f>
        <v>0</v>
      </c>
      <c r="I22" s="146"/>
      <c r="J22" s="82">
        <f t="shared" ref="J22" si="132">I22/I$6</f>
        <v>0</v>
      </c>
      <c r="K22" s="146"/>
      <c r="L22" s="82">
        <f t="shared" ref="L22" si="133">K22/K$6</f>
        <v>0</v>
      </c>
      <c r="M22" s="146"/>
      <c r="N22" s="82">
        <f t="shared" ref="N22" si="134">M22/M$6</f>
        <v>0</v>
      </c>
      <c r="O22" s="146"/>
      <c r="P22" s="90">
        <f t="shared" ref="P22" si="135">O22/O$6</f>
        <v>0</v>
      </c>
      <c r="Q22" s="142"/>
      <c r="R22" s="82">
        <f t="shared" ref="R22" si="136">Q22/Q$6</f>
        <v>0</v>
      </c>
      <c r="S22" s="146"/>
      <c r="T22" s="90">
        <f t="shared" ref="T22" si="137">S22/S$6</f>
        <v>0</v>
      </c>
      <c r="U22" s="146"/>
      <c r="V22" s="82">
        <f t="shared" ref="V22" si="138">U22/U$6</f>
        <v>0</v>
      </c>
      <c r="W22" s="146"/>
      <c r="X22" s="82">
        <f t="shared" ref="X22" si="139">W22/W$6</f>
        <v>0</v>
      </c>
      <c r="Y22" s="146"/>
      <c r="Z22" s="84">
        <f t="shared" ref="Z22" si="140">Y22/Y$6</f>
        <v>0</v>
      </c>
    </row>
    <row r="23" spans="1:26" x14ac:dyDescent="0.25">
      <c r="A23" s="71">
        <v>16</v>
      </c>
      <c r="B23" s="141"/>
      <c r="C23" s="142"/>
      <c r="D23" s="82">
        <f t="shared" si="0"/>
        <v>0</v>
      </c>
      <c r="E23" s="146"/>
      <c r="F23" s="82">
        <f t="shared" si="0"/>
        <v>0</v>
      </c>
      <c r="G23" s="146"/>
      <c r="H23" s="82">
        <f t="shared" ref="H23" si="141">G23/G$6</f>
        <v>0</v>
      </c>
      <c r="I23" s="146"/>
      <c r="J23" s="82">
        <f t="shared" ref="J23" si="142">I23/I$6</f>
        <v>0</v>
      </c>
      <c r="K23" s="146"/>
      <c r="L23" s="82">
        <f t="shared" ref="L23" si="143">K23/K$6</f>
        <v>0</v>
      </c>
      <c r="M23" s="146"/>
      <c r="N23" s="82">
        <f t="shared" ref="N23" si="144">M23/M$6</f>
        <v>0</v>
      </c>
      <c r="O23" s="146"/>
      <c r="P23" s="90">
        <f t="shared" ref="P23" si="145">O23/O$6</f>
        <v>0</v>
      </c>
      <c r="Q23" s="142"/>
      <c r="R23" s="82">
        <f t="shared" ref="R23" si="146">Q23/Q$6</f>
        <v>0</v>
      </c>
      <c r="S23" s="146"/>
      <c r="T23" s="90">
        <f t="shared" ref="T23" si="147">S23/S$6</f>
        <v>0</v>
      </c>
      <c r="U23" s="146"/>
      <c r="V23" s="82">
        <f t="shared" ref="V23" si="148">U23/U$6</f>
        <v>0</v>
      </c>
      <c r="W23" s="146"/>
      <c r="X23" s="82">
        <f t="shared" ref="X23" si="149">W23/W$6</f>
        <v>0</v>
      </c>
      <c r="Y23" s="146"/>
      <c r="Z23" s="84">
        <f t="shared" ref="Z23" si="150">Y23/Y$6</f>
        <v>0</v>
      </c>
    </row>
    <row r="24" spans="1:26" x14ac:dyDescent="0.25">
      <c r="A24" s="71">
        <v>17</v>
      </c>
      <c r="B24" s="141"/>
      <c r="C24" s="142"/>
      <c r="D24" s="82">
        <f t="shared" si="0"/>
        <v>0</v>
      </c>
      <c r="E24" s="146"/>
      <c r="F24" s="82">
        <f t="shared" si="0"/>
        <v>0</v>
      </c>
      <c r="G24" s="146"/>
      <c r="H24" s="82">
        <f t="shared" ref="H24" si="151">G24/G$6</f>
        <v>0</v>
      </c>
      <c r="I24" s="146"/>
      <c r="J24" s="82">
        <f t="shared" ref="J24" si="152">I24/I$6</f>
        <v>0</v>
      </c>
      <c r="K24" s="146"/>
      <c r="L24" s="82">
        <f t="shared" ref="L24" si="153">K24/K$6</f>
        <v>0</v>
      </c>
      <c r="M24" s="146"/>
      <c r="N24" s="82">
        <f t="shared" ref="N24" si="154">M24/M$6</f>
        <v>0</v>
      </c>
      <c r="O24" s="146"/>
      <c r="P24" s="90">
        <f t="shared" ref="P24" si="155">O24/O$6</f>
        <v>0</v>
      </c>
      <c r="Q24" s="142"/>
      <c r="R24" s="82">
        <f t="shared" ref="R24" si="156">Q24/Q$6</f>
        <v>0</v>
      </c>
      <c r="S24" s="146"/>
      <c r="T24" s="90">
        <f t="shared" ref="T24" si="157">S24/S$6</f>
        <v>0</v>
      </c>
      <c r="U24" s="146"/>
      <c r="V24" s="82">
        <f t="shared" ref="V24" si="158">U24/U$6</f>
        <v>0</v>
      </c>
      <c r="W24" s="146"/>
      <c r="X24" s="82">
        <f t="shared" ref="X24" si="159">W24/W$6</f>
        <v>0</v>
      </c>
      <c r="Y24" s="146"/>
      <c r="Z24" s="84">
        <f t="shared" ref="Z24" si="160">Y24/Y$6</f>
        <v>0</v>
      </c>
    </row>
    <row r="25" spans="1:26" x14ac:dyDescent="0.25">
      <c r="A25" s="71">
        <v>18</v>
      </c>
      <c r="B25" s="141"/>
      <c r="C25" s="142"/>
      <c r="D25" s="82">
        <f t="shared" si="0"/>
        <v>0</v>
      </c>
      <c r="E25" s="146"/>
      <c r="F25" s="82">
        <f t="shared" si="0"/>
        <v>0</v>
      </c>
      <c r="G25" s="146"/>
      <c r="H25" s="82">
        <f t="shared" ref="H25" si="161">G25/G$6</f>
        <v>0</v>
      </c>
      <c r="I25" s="146"/>
      <c r="J25" s="82">
        <f t="shared" ref="J25" si="162">I25/I$6</f>
        <v>0</v>
      </c>
      <c r="K25" s="146"/>
      <c r="L25" s="82">
        <f t="shared" ref="L25" si="163">K25/K$6</f>
        <v>0</v>
      </c>
      <c r="M25" s="146"/>
      <c r="N25" s="82">
        <f t="shared" ref="N25" si="164">M25/M$6</f>
        <v>0</v>
      </c>
      <c r="O25" s="146"/>
      <c r="P25" s="90">
        <f t="shared" ref="P25" si="165">O25/O$6</f>
        <v>0</v>
      </c>
      <c r="Q25" s="142"/>
      <c r="R25" s="82">
        <f t="shared" ref="R25" si="166">Q25/Q$6</f>
        <v>0</v>
      </c>
      <c r="S25" s="146"/>
      <c r="T25" s="90">
        <f t="shared" ref="T25" si="167">S25/S$6</f>
        <v>0</v>
      </c>
      <c r="U25" s="146"/>
      <c r="V25" s="82">
        <f t="shared" ref="V25" si="168">U25/U$6</f>
        <v>0</v>
      </c>
      <c r="W25" s="146"/>
      <c r="X25" s="82">
        <f t="shared" ref="X25" si="169">W25/W$6</f>
        <v>0</v>
      </c>
      <c r="Y25" s="146"/>
      <c r="Z25" s="84">
        <f t="shared" ref="Z25" si="170">Y25/Y$6</f>
        <v>0</v>
      </c>
    </row>
    <row r="26" spans="1:26" x14ac:dyDescent="0.25">
      <c r="A26" s="71">
        <v>19</v>
      </c>
      <c r="B26" s="141"/>
      <c r="C26" s="142"/>
      <c r="D26" s="82">
        <f t="shared" si="0"/>
        <v>0</v>
      </c>
      <c r="E26" s="146"/>
      <c r="F26" s="82">
        <f t="shared" si="0"/>
        <v>0</v>
      </c>
      <c r="G26" s="146"/>
      <c r="H26" s="82">
        <f t="shared" ref="H26" si="171">G26/G$6</f>
        <v>0</v>
      </c>
      <c r="I26" s="146"/>
      <c r="J26" s="82">
        <f t="shared" ref="J26" si="172">I26/I$6</f>
        <v>0</v>
      </c>
      <c r="K26" s="146"/>
      <c r="L26" s="82">
        <f t="shared" ref="L26" si="173">K26/K$6</f>
        <v>0</v>
      </c>
      <c r="M26" s="146"/>
      <c r="N26" s="82">
        <f t="shared" ref="N26" si="174">M26/M$6</f>
        <v>0</v>
      </c>
      <c r="O26" s="146"/>
      <c r="P26" s="90">
        <f t="shared" ref="P26" si="175">O26/O$6</f>
        <v>0</v>
      </c>
      <c r="Q26" s="142"/>
      <c r="R26" s="82">
        <f t="shared" ref="R26" si="176">Q26/Q$6</f>
        <v>0</v>
      </c>
      <c r="S26" s="146"/>
      <c r="T26" s="90">
        <f t="shared" ref="T26" si="177">S26/S$6</f>
        <v>0</v>
      </c>
      <c r="U26" s="146"/>
      <c r="V26" s="82">
        <f t="shared" ref="V26" si="178">U26/U$6</f>
        <v>0</v>
      </c>
      <c r="W26" s="146"/>
      <c r="X26" s="82">
        <f t="shared" ref="X26" si="179">W26/W$6</f>
        <v>0</v>
      </c>
      <c r="Y26" s="146"/>
      <c r="Z26" s="84">
        <f t="shared" ref="Z26" si="180">Y26/Y$6</f>
        <v>0</v>
      </c>
    </row>
    <row r="27" spans="1:26" ht="14.4" thickBot="1" x14ac:dyDescent="0.3">
      <c r="A27" s="72">
        <v>20</v>
      </c>
      <c r="B27" s="143"/>
      <c r="C27" s="144"/>
      <c r="D27" s="85">
        <f t="shared" si="0"/>
        <v>0</v>
      </c>
      <c r="E27" s="147"/>
      <c r="F27" s="85">
        <f t="shared" si="0"/>
        <v>0</v>
      </c>
      <c r="G27" s="147"/>
      <c r="H27" s="85">
        <f t="shared" ref="H27" si="181">G27/G$6</f>
        <v>0</v>
      </c>
      <c r="I27" s="147"/>
      <c r="J27" s="85">
        <f t="shared" ref="J27" si="182">I27/I$6</f>
        <v>0</v>
      </c>
      <c r="K27" s="147"/>
      <c r="L27" s="85">
        <f t="shared" ref="L27" si="183">K27/K$6</f>
        <v>0</v>
      </c>
      <c r="M27" s="147"/>
      <c r="N27" s="85">
        <f t="shared" ref="N27" si="184">M27/M$6</f>
        <v>0</v>
      </c>
      <c r="O27" s="147"/>
      <c r="P27" s="91">
        <f t="shared" ref="P27" si="185">O27/O$6</f>
        <v>0</v>
      </c>
      <c r="Q27" s="144"/>
      <c r="R27" s="85">
        <f t="shared" ref="R27" si="186">Q27/Q$6</f>
        <v>0</v>
      </c>
      <c r="S27" s="147"/>
      <c r="T27" s="91">
        <f t="shared" ref="T27" si="187">S27/S$6</f>
        <v>0</v>
      </c>
      <c r="U27" s="147"/>
      <c r="V27" s="85">
        <f t="shared" ref="V27" si="188">U27/U$6</f>
        <v>0</v>
      </c>
      <c r="W27" s="147"/>
      <c r="X27" s="85">
        <f t="shared" ref="X27" si="189">W27/W$6</f>
        <v>0</v>
      </c>
      <c r="Y27" s="147"/>
      <c r="Z27" s="86">
        <f t="shared" ref="Z27" si="190">Y27/Y$6</f>
        <v>0</v>
      </c>
    </row>
    <row r="28" spans="1:26" x14ac:dyDescent="0.25">
      <c r="A28" s="342" t="s">
        <v>102</v>
      </c>
      <c r="B28" s="343"/>
      <c r="C28" s="77">
        <f>SUM(C8:C27)</f>
        <v>200000</v>
      </c>
      <c r="D28" s="74"/>
      <c r="E28" s="73">
        <f t="shared" ref="E28" si="191">SUM(E8:E27)</f>
        <v>200000</v>
      </c>
      <c r="F28" s="74"/>
      <c r="G28" s="73">
        <f t="shared" ref="G28" si="192">SUM(G8:G27)</f>
        <v>200000</v>
      </c>
      <c r="H28" s="74"/>
      <c r="I28" s="73">
        <f t="shared" ref="I28" si="193">SUM(I8:I27)</f>
        <v>200000</v>
      </c>
      <c r="J28" s="74"/>
      <c r="K28" s="73">
        <f t="shared" ref="K28" si="194">SUM(K8:K27)</f>
        <v>200000</v>
      </c>
      <c r="L28" s="74"/>
      <c r="M28" s="73">
        <f t="shared" ref="M28" si="195">SUM(M8:M27)</f>
        <v>200000</v>
      </c>
      <c r="N28" s="74"/>
      <c r="O28" s="73">
        <f t="shared" ref="O28" si="196">SUM(O8:O27)</f>
        <v>200000</v>
      </c>
      <c r="P28" s="76"/>
      <c r="Q28" s="77">
        <f t="shared" ref="Q28" si="197">SUM(Q8:Q27)</f>
        <v>200000</v>
      </c>
      <c r="R28" s="74"/>
      <c r="S28" s="73">
        <f t="shared" ref="S28" si="198">SUM(S8:S27)</f>
        <v>200000</v>
      </c>
      <c r="T28" s="76"/>
      <c r="U28" s="167">
        <f t="shared" ref="U28" si="199">SUM(U8:U27)</f>
        <v>200000</v>
      </c>
      <c r="V28" s="74"/>
      <c r="W28" s="73">
        <f t="shared" ref="W28" si="200">SUM(W8:W27)</f>
        <v>200000</v>
      </c>
      <c r="X28" s="74"/>
      <c r="Y28" s="73">
        <f t="shared" ref="Y28" si="201">SUM(Y8:Y27)</f>
        <v>200000</v>
      </c>
      <c r="Z28" s="75"/>
    </row>
    <row r="29" spans="1:26" ht="14.4" thickBot="1" x14ac:dyDescent="0.3">
      <c r="A29" s="344" t="s">
        <v>103</v>
      </c>
      <c r="B29" s="345"/>
      <c r="C29" s="78"/>
      <c r="D29" s="80">
        <f>SUM(D8:D27)</f>
        <v>5.0720227226617974E-3</v>
      </c>
      <c r="E29" s="79"/>
      <c r="F29" s="80">
        <f t="shared" ref="F29" si="202">SUM(F8:F27)</f>
        <v>5.2410901467505244E-3</v>
      </c>
      <c r="G29" s="79"/>
      <c r="H29" s="80">
        <f t="shared" ref="H29" si="203">SUM(H8:H27)</f>
        <v>5.0720227226617974E-3</v>
      </c>
      <c r="I29" s="79"/>
      <c r="J29" s="80">
        <f t="shared" ref="J29" si="204">SUM(J8:J27)</f>
        <v>5.0720227226617974E-3</v>
      </c>
      <c r="K29" s="79"/>
      <c r="L29" s="80">
        <f t="shared" ref="L29" si="205">SUM(L8:L27)</f>
        <v>5.2410901467505244E-3</v>
      </c>
      <c r="M29" s="79"/>
      <c r="N29" s="80">
        <f t="shared" ref="N29" si="206">SUM(N8:N27)</f>
        <v>5.0720227226617974E-3</v>
      </c>
      <c r="O29" s="79"/>
      <c r="P29" s="92">
        <f t="shared" ref="P29" si="207">SUM(P8:P27)</f>
        <v>5.2410901467505244E-3</v>
      </c>
      <c r="Q29" s="78"/>
      <c r="R29" s="80">
        <f t="shared" ref="R29" si="208">SUM(R8:R27)</f>
        <v>5.0720227226617974E-3</v>
      </c>
      <c r="S29" s="79"/>
      <c r="T29" s="92">
        <f t="shared" ref="T29" si="209">SUM(T8:T27)</f>
        <v>5.0720227226617974E-3</v>
      </c>
      <c r="U29" s="168"/>
      <c r="V29" s="80">
        <f t="shared" ref="V29" si="210">SUM(V8:V27)</f>
        <v>5.6154537286612757E-3</v>
      </c>
      <c r="W29" s="79"/>
      <c r="X29" s="80">
        <f t="shared" ref="X29" si="211">SUM(X8:X27)</f>
        <v>5.0720227226617974E-3</v>
      </c>
      <c r="Y29" s="79"/>
      <c r="Z29" s="87">
        <f t="shared" ref="Z29" si="212">SUM(Z8:Z27)</f>
        <v>5.2410901467505244E-3</v>
      </c>
    </row>
    <row r="30" spans="1:26" ht="24" customHeight="1" thickBot="1" x14ac:dyDescent="0.3">
      <c r="A30" s="346" t="s">
        <v>104</v>
      </c>
      <c r="B30" s="347"/>
      <c r="C30" s="348">
        <f>(SUM(C28:Z28))/(SUM(C6,E6,G6,I6,K6,M6,O6,Q6,S6,U6,W6,Y6))</f>
        <v>5.1692943913155855E-3</v>
      </c>
      <c r="D30" s="349"/>
    </row>
    <row r="33" spans="1:26" ht="15.6" thickBot="1" x14ac:dyDescent="0.3">
      <c r="A33" s="88" t="s">
        <v>106</v>
      </c>
    </row>
    <row r="34" spans="1:26" s="67" customFormat="1" x14ac:dyDescent="0.25">
      <c r="A34" s="335" t="s">
        <v>101</v>
      </c>
      <c r="B34" s="350"/>
      <c r="C34" s="354">
        <v>2023</v>
      </c>
      <c r="D34" s="355"/>
      <c r="E34" s="355"/>
      <c r="F34" s="355"/>
      <c r="G34" s="355"/>
      <c r="H34" s="355"/>
      <c r="I34" s="355"/>
      <c r="J34" s="355"/>
      <c r="K34" s="355"/>
      <c r="L34" s="355"/>
      <c r="M34" s="355"/>
      <c r="N34" s="355"/>
      <c r="O34" s="355"/>
      <c r="P34" s="356"/>
      <c r="Q34" s="351">
        <v>2024</v>
      </c>
      <c r="R34" s="352"/>
      <c r="S34" s="352"/>
      <c r="T34" s="352"/>
      <c r="U34" s="352"/>
      <c r="V34" s="352"/>
      <c r="W34" s="352"/>
      <c r="X34" s="352"/>
      <c r="Y34" s="352"/>
      <c r="Z34" s="353"/>
    </row>
    <row r="35" spans="1:26" s="67" customFormat="1" x14ac:dyDescent="0.25">
      <c r="A35" s="337" t="s">
        <v>100</v>
      </c>
      <c r="B35" s="341"/>
      <c r="C35" s="115" t="s">
        <v>93</v>
      </c>
      <c r="D35" s="114"/>
      <c r="E35" s="114" t="s">
        <v>94</v>
      </c>
      <c r="F35" s="114"/>
      <c r="G35" s="114" t="s">
        <v>95</v>
      </c>
      <c r="H35" s="114"/>
      <c r="I35" s="114" t="s">
        <v>96</v>
      </c>
      <c r="J35" s="114"/>
      <c r="K35" s="114" t="s">
        <v>97</v>
      </c>
      <c r="L35" s="114"/>
      <c r="M35" s="114" t="s">
        <v>98</v>
      </c>
      <c r="N35" s="114"/>
      <c r="O35" s="114" t="s">
        <v>99</v>
      </c>
      <c r="P35" s="116"/>
      <c r="Q35" s="115" t="s">
        <v>87</v>
      </c>
      <c r="R35" s="114"/>
      <c r="S35" s="357" t="s">
        <v>89</v>
      </c>
      <c r="T35" s="357"/>
      <c r="U35" s="357" t="s">
        <v>90</v>
      </c>
      <c r="V35" s="357"/>
      <c r="W35" s="357" t="s">
        <v>91</v>
      </c>
      <c r="X35" s="357"/>
      <c r="Y35" s="357" t="s">
        <v>92</v>
      </c>
      <c r="Z35" s="358"/>
    </row>
    <row r="36" spans="1:26" s="67" customFormat="1" ht="14.4" thickBot="1" x14ac:dyDescent="0.3">
      <c r="A36" s="339" t="s">
        <v>171</v>
      </c>
      <c r="B36" s="340"/>
      <c r="C36" s="172">
        <v>39432000</v>
      </c>
      <c r="D36" s="68" t="s">
        <v>88</v>
      </c>
      <c r="E36" s="173">
        <v>38160000</v>
      </c>
      <c r="F36" s="68" t="s">
        <v>88</v>
      </c>
      <c r="G36" s="173">
        <v>39432000</v>
      </c>
      <c r="H36" s="68" t="s">
        <v>88</v>
      </c>
      <c r="I36" s="173">
        <v>39432000</v>
      </c>
      <c r="J36" s="68" t="s">
        <v>88</v>
      </c>
      <c r="K36" s="173">
        <v>38160000</v>
      </c>
      <c r="L36" s="68" t="s">
        <v>88</v>
      </c>
      <c r="M36" s="173">
        <v>39432000</v>
      </c>
      <c r="N36" s="68" t="s">
        <v>88</v>
      </c>
      <c r="O36" s="173">
        <v>38160000</v>
      </c>
      <c r="P36" s="69" t="s">
        <v>88</v>
      </c>
      <c r="Q36" s="172">
        <v>39432000</v>
      </c>
      <c r="R36" s="68" t="s">
        <v>88</v>
      </c>
      <c r="S36" s="173">
        <v>39432000</v>
      </c>
      <c r="T36" s="68" t="s">
        <v>88</v>
      </c>
      <c r="U36" s="173">
        <v>35616000</v>
      </c>
      <c r="V36" s="68" t="s">
        <v>88</v>
      </c>
      <c r="W36" s="173">
        <v>39432000</v>
      </c>
      <c r="X36" s="68" t="s">
        <v>88</v>
      </c>
      <c r="Y36" s="173">
        <v>38160000</v>
      </c>
      <c r="Z36" s="69" t="s">
        <v>88</v>
      </c>
    </row>
    <row r="37" spans="1:26" s="67" customFormat="1" ht="14.4" thickBot="1" x14ac:dyDescent="0.3">
      <c r="A37" s="333" t="s">
        <v>86</v>
      </c>
      <c r="B37" s="334"/>
      <c r="C37" s="159" t="s">
        <v>85</v>
      </c>
      <c r="D37" s="157" t="s">
        <v>175</v>
      </c>
      <c r="E37" s="157" t="s">
        <v>85</v>
      </c>
      <c r="F37" s="157" t="s">
        <v>175</v>
      </c>
      <c r="G37" s="157" t="s">
        <v>85</v>
      </c>
      <c r="H37" s="157" t="s">
        <v>175</v>
      </c>
      <c r="I37" s="157" t="s">
        <v>85</v>
      </c>
      <c r="J37" s="157" t="s">
        <v>175</v>
      </c>
      <c r="K37" s="157" t="s">
        <v>85</v>
      </c>
      <c r="L37" s="157" t="s">
        <v>175</v>
      </c>
      <c r="M37" s="157" t="s">
        <v>85</v>
      </c>
      <c r="N37" s="157" t="s">
        <v>175</v>
      </c>
      <c r="O37" s="157" t="s">
        <v>85</v>
      </c>
      <c r="P37" s="160" t="s">
        <v>175</v>
      </c>
      <c r="Q37" s="169" t="s">
        <v>85</v>
      </c>
      <c r="R37" s="170" t="s">
        <v>175</v>
      </c>
      <c r="S37" s="170" t="s">
        <v>85</v>
      </c>
      <c r="T37" s="170" t="s">
        <v>175</v>
      </c>
      <c r="U37" s="170" t="s">
        <v>85</v>
      </c>
      <c r="V37" s="170" t="s">
        <v>175</v>
      </c>
      <c r="W37" s="170" t="s">
        <v>85</v>
      </c>
      <c r="X37" s="170" t="s">
        <v>175</v>
      </c>
      <c r="Y37" s="170" t="s">
        <v>85</v>
      </c>
      <c r="Z37" s="171" t="s">
        <v>175</v>
      </c>
    </row>
    <row r="38" spans="1:26" x14ac:dyDescent="0.25">
      <c r="A38" s="70">
        <v>1</v>
      </c>
      <c r="B38" s="139"/>
      <c r="C38" s="140">
        <v>200000</v>
      </c>
      <c r="D38" s="81">
        <f>C38/C$6</f>
        <v>5.0720227226617974E-3</v>
      </c>
      <c r="E38" s="145">
        <v>200000</v>
      </c>
      <c r="F38" s="81">
        <f>E38/E$6</f>
        <v>5.2410901467505244E-3</v>
      </c>
      <c r="G38" s="145">
        <v>200000</v>
      </c>
      <c r="H38" s="81">
        <f>G38/G$6</f>
        <v>5.0720227226617974E-3</v>
      </c>
      <c r="I38" s="145">
        <v>200000</v>
      </c>
      <c r="J38" s="81">
        <f>I38/I$6</f>
        <v>5.0720227226617974E-3</v>
      </c>
      <c r="K38" s="145">
        <v>200000</v>
      </c>
      <c r="L38" s="81">
        <f>K38/K$6</f>
        <v>5.2410901467505244E-3</v>
      </c>
      <c r="M38" s="145">
        <v>200000</v>
      </c>
      <c r="N38" s="81">
        <f>M38/M$6</f>
        <v>5.0720227226617974E-3</v>
      </c>
      <c r="O38" s="145">
        <v>200000</v>
      </c>
      <c r="P38" s="83">
        <f>O38/O$6</f>
        <v>5.2410901467505244E-3</v>
      </c>
      <c r="Q38" s="140">
        <v>200000</v>
      </c>
      <c r="R38" s="81">
        <f>Q38/Q$6</f>
        <v>5.0720227226617974E-3</v>
      </c>
      <c r="S38" s="145">
        <v>200000</v>
      </c>
      <c r="T38" s="89">
        <f>S38/S$6</f>
        <v>5.0720227226617974E-3</v>
      </c>
      <c r="U38" s="166">
        <v>200000</v>
      </c>
      <c r="V38" s="81">
        <f>U38/U$6</f>
        <v>5.6154537286612757E-3</v>
      </c>
      <c r="W38" s="145">
        <v>200000</v>
      </c>
      <c r="X38" s="81">
        <f>W38/W$6</f>
        <v>5.0720227226617974E-3</v>
      </c>
      <c r="Y38" s="145">
        <v>200000</v>
      </c>
      <c r="Z38" s="83">
        <f>Y38/Y$6</f>
        <v>5.2410901467505244E-3</v>
      </c>
    </row>
    <row r="39" spans="1:26" x14ac:dyDescent="0.25">
      <c r="A39" s="71">
        <v>2</v>
      </c>
      <c r="B39" s="141"/>
      <c r="C39" s="142"/>
      <c r="D39" s="82">
        <f t="shared" ref="D39" si="213">C39/C$6</f>
        <v>0</v>
      </c>
      <c r="E39" s="146"/>
      <c r="F39" s="82">
        <f t="shared" ref="F39" si="214">E39/E$6</f>
        <v>0</v>
      </c>
      <c r="G39" s="146"/>
      <c r="H39" s="82">
        <f t="shared" ref="H39:H57" si="215">G39/G$6</f>
        <v>0</v>
      </c>
      <c r="I39" s="146"/>
      <c r="J39" s="82">
        <f t="shared" ref="J39:J57" si="216">I39/I$6</f>
        <v>0</v>
      </c>
      <c r="K39" s="146"/>
      <c r="L39" s="82">
        <f t="shared" ref="L39:L57" si="217">K39/K$6</f>
        <v>0</v>
      </c>
      <c r="M39" s="146"/>
      <c r="N39" s="82">
        <f t="shared" ref="N39:N57" si="218">M39/M$6</f>
        <v>0</v>
      </c>
      <c r="O39" s="146"/>
      <c r="P39" s="84">
        <f t="shared" ref="P39:P57" si="219">O39/O$6</f>
        <v>0</v>
      </c>
      <c r="Q39" s="142"/>
      <c r="R39" s="82">
        <f t="shared" ref="R39:R57" si="220">Q39/Q$6</f>
        <v>0</v>
      </c>
      <c r="S39" s="146"/>
      <c r="T39" s="90">
        <f t="shared" ref="T39:T57" si="221">S39/S$6</f>
        <v>0</v>
      </c>
      <c r="U39" s="146"/>
      <c r="V39" s="82">
        <f t="shared" ref="V39:V57" si="222">U39/U$6</f>
        <v>0</v>
      </c>
      <c r="W39" s="146"/>
      <c r="X39" s="82">
        <f t="shared" ref="X39:X57" si="223">W39/W$6</f>
        <v>0</v>
      </c>
      <c r="Y39" s="146"/>
      <c r="Z39" s="84">
        <f t="shared" ref="Z39:Z57" si="224">Y39/Y$6</f>
        <v>0</v>
      </c>
    </row>
    <row r="40" spans="1:26" x14ac:dyDescent="0.25">
      <c r="A40" s="71">
        <v>3</v>
      </c>
      <c r="B40" s="141"/>
      <c r="C40" s="142"/>
      <c r="D40" s="82">
        <f t="shared" ref="D40" si="225">C40/C$6</f>
        <v>0</v>
      </c>
      <c r="E40" s="146"/>
      <c r="F40" s="82">
        <f t="shared" ref="F40" si="226">E40/E$6</f>
        <v>0</v>
      </c>
      <c r="G40" s="146"/>
      <c r="H40" s="82">
        <f t="shared" si="215"/>
        <v>0</v>
      </c>
      <c r="I40" s="146"/>
      <c r="J40" s="82">
        <f t="shared" si="216"/>
        <v>0</v>
      </c>
      <c r="K40" s="146"/>
      <c r="L40" s="82">
        <f t="shared" si="217"/>
        <v>0</v>
      </c>
      <c r="M40" s="146"/>
      <c r="N40" s="82">
        <f t="shared" si="218"/>
        <v>0</v>
      </c>
      <c r="O40" s="146"/>
      <c r="P40" s="84">
        <f t="shared" si="219"/>
        <v>0</v>
      </c>
      <c r="Q40" s="142"/>
      <c r="R40" s="82">
        <f t="shared" si="220"/>
        <v>0</v>
      </c>
      <c r="S40" s="146"/>
      <c r="T40" s="90">
        <f t="shared" si="221"/>
        <v>0</v>
      </c>
      <c r="U40" s="146"/>
      <c r="V40" s="82">
        <f t="shared" si="222"/>
        <v>0</v>
      </c>
      <c r="W40" s="146"/>
      <c r="X40" s="82">
        <f t="shared" si="223"/>
        <v>0</v>
      </c>
      <c r="Y40" s="146"/>
      <c r="Z40" s="84">
        <f t="shared" si="224"/>
        <v>0</v>
      </c>
    </row>
    <row r="41" spans="1:26" x14ac:dyDescent="0.25">
      <c r="A41" s="71">
        <v>4</v>
      </c>
      <c r="B41" s="141"/>
      <c r="C41" s="142"/>
      <c r="D41" s="82">
        <f t="shared" ref="D41" si="227">C41/C$6</f>
        <v>0</v>
      </c>
      <c r="E41" s="146"/>
      <c r="F41" s="82">
        <f t="shared" ref="F41" si="228">E41/E$6</f>
        <v>0</v>
      </c>
      <c r="G41" s="146"/>
      <c r="H41" s="82">
        <f t="shared" si="215"/>
        <v>0</v>
      </c>
      <c r="I41" s="146"/>
      <c r="J41" s="82">
        <f t="shared" si="216"/>
        <v>0</v>
      </c>
      <c r="K41" s="146"/>
      <c r="L41" s="82">
        <f t="shared" si="217"/>
        <v>0</v>
      </c>
      <c r="M41" s="146"/>
      <c r="N41" s="82">
        <f t="shared" si="218"/>
        <v>0</v>
      </c>
      <c r="O41" s="146"/>
      <c r="P41" s="84">
        <f t="shared" si="219"/>
        <v>0</v>
      </c>
      <c r="Q41" s="142"/>
      <c r="R41" s="82">
        <f t="shared" si="220"/>
        <v>0</v>
      </c>
      <c r="S41" s="146"/>
      <c r="T41" s="90">
        <f t="shared" si="221"/>
        <v>0</v>
      </c>
      <c r="U41" s="146"/>
      <c r="V41" s="82">
        <f t="shared" si="222"/>
        <v>0</v>
      </c>
      <c r="W41" s="146"/>
      <c r="X41" s="82">
        <f t="shared" si="223"/>
        <v>0</v>
      </c>
      <c r="Y41" s="146"/>
      <c r="Z41" s="84">
        <f t="shared" si="224"/>
        <v>0</v>
      </c>
    </row>
    <row r="42" spans="1:26" x14ac:dyDescent="0.25">
      <c r="A42" s="71">
        <v>5</v>
      </c>
      <c r="B42" s="141"/>
      <c r="C42" s="142"/>
      <c r="D42" s="82">
        <f t="shared" ref="D42" si="229">C42/C$6</f>
        <v>0</v>
      </c>
      <c r="E42" s="146"/>
      <c r="F42" s="82">
        <f t="shared" ref="F42" si="230">E42/E$6</f>
        <v>0</v>
      </c>
      <c r="G42" s="146"/>
      <c r="H42" s="82">
        <f t="shared" si="215"/>
        <v>0</v>
      </c>
      <c r="I42" s="146"/>
      <c r="J42" s="82">
        <f t="shared" si="216"/>
        <v>0</v>
      </c>
      <c r="K42" s="146"/>
      <c r="L42" s="82">
        <f t="shared" si="217"/>
        <v>0</v>
      </c>
      <c r="M42" s="146"/>
      <c r="N42" s="82">
        <f t="shared" si="218"/>
        <v>0</v>
      </c>
      <c r="O42" s="146"/>
      <c r="P42" s="84">
        <f t="shared" si="219"/>
        <v>0</v>
      </c>
      <c r="Q42" s="142"/>
      <c r="R42" s="82">
        <f t="shared" si="220"/>
        <v>0</v>
      </c>
      <c r="S42" s="146"/>
      <c r="T42" s="90">
        <f t="shared" si="221"/>
        <v>0</v>
      </c>
      <c r="U42" s="146"/>
      <c r="V42" s="82">
        <f t="shared" si="222"/>
        <v>0</v>
      </c>
      <c r="W42" s="146"/>
      <c r="X42" s="82">
        <f t="shared" si="223"/>
        <v>0</v>
      </c>
      <c r="Y42" s="146"/>
      <c r="Z42" s="84">
        <f t="shared" si="224"/>
        <v>0</v>
      </c>
    </row>
    <row r="43" spans="1:26" x14ac:dyDescent="0.25">
      <c r="A43" s="71">
        <v>6</v>
      </c>
      <c r="B43" s="141"/>
      <c r="C43" s="142"/>
      <c r="D43" s="82">
        <f t="shared" ref="D43" si="231">C43/C$6</f>
        <v>0</v>
      </c>
      <c r="E43" s="146"/>
      <c r="F43" s="82">
        <f t="shared" ref="F43" si="232">E43/E$6</f>
        <v>0</v>
      </c>
      <c r="G43" s="146"/>
      <c r="H43" s="82">
        <f t="shared" si="215"/>
        <v>0</v>
      </c>
      <c r="I43" s="146"/>
      <c r="J43" s="82">
        <f t="shared" si="216"/>
        <v>0</v>
      </c>
      <c r="K43" s="146"/>
      <c r="L43" s="82">
        <f t="shared" si="217"/>
        <v>0</v>
      </c>
      <c r="M43" s="146"/>
      <c r="N43" s="82">
        <f t="shared" si="218"/>
        <v>0</v>
      </c>
      <c r="O43" s="146"/>
      <c r="P43" s="84">
        <f t="shared" si="219"/>
        <v>0</v>
      </c>
      <c r="Q43" s="142"/>
      <c r="R43" s="82">
        <f t="shared" si="220"/>
        <v>0</v>
      </c>
      <c r="S43" s="146"/>
      <c r="T43" s="90">
        <f t="shared" si="221"/>
        <v>0</v>
      </c>
      <c r="U43" s="146"/>
      <c r="V43" s="82">
        <f t="shared" si="222"/>
        <v>0</v>
      </c>
      <c r="W43" s="146"/>
      <c r="X43" s="82">
        <f t="shared" si="223"/>
        <v>0</v>
      </c>
      <c r="Y43" s="146"/>
      <c r="Z43" s="84">
        <f t="shared" si="224"/>
        <v>0</v>
      </c>
    </row>
    <row r="44" spans="1:26" x14ac:dyDescent="0.25">
      <c r="A44" s="71">
        <v>7</v>
      </c>
      <c r="B44" s="141"/>
      <c r="C44" s="142"/>
      <c r="D44" s="82">
        <f t="shared" ref="D44" si="233">C44/C$6</f>
        <v>0</v>
      </c>
      <c r="E44" s="146"/>
      <c r="F44" s="82">
        <f t="shared" ref="F44" si="234">E44/E$6</f>
        <v>0</v>
      </c>
      <c r="G44" s="146"/>
      <c r="H44" s="82">
        <f t="shared" si="215"/>
        <v>0</v>
      </c>
      <c r="I44" s="146"/>
      <c r="J44" s="82">
        <f t="shared" si="216"/>
        <v>0</v>
      </c>
      <c r="K44" s="146"/>
      <c r="L44" s="82">
        <f t="shared" si="217"/>
        <v>0</v>
      </c>
      <c r="M44" s="146"/>
      <c r="N44" s="82">
        <f t="shared" si="218"/>
        <v>0</v>
      </c>
      <c r="O44" s="146"/>
      <c r="P44" s="84">
        <f t="shared" si="219"/>
        <v>0</v>
      </c>
      <c r="Q44" s="142"/>
      <c r="R44" s="82">
        <f t="shared" si="220"/>
        <v>0</v>
      </c>
      <c r="S44" s="146"/>
      <c r="T44" s="90">
        <f t="shared" si="221"/>
        <v>0</v>
      </c>
      <c r="U44" s="146"/>
      <c r="V44" s="82">
        <f t="shared" si="222"/>
        <v>0</v>
      </c>
      <c r="W44" s="146"/>
      <c r="X44" s="82">
        <f t="shared" si="223"/>
        <v>0</v>
      </c>
      <c r="Y44" s="146"/>
      <c r="Z44" s="84">
        <f t="shared" si="224"/>
        <v>0</v>
      </c>
    </row>
    <row r="45" spans="1:26" x14ac:dyDescent="0.25">
      <c r="A45" s="71">
        <v>8</v>
      </c>
      <c r="B45" s="141"/>
      <c r="C45" s="142"/>
      <c r="D45" s="82">
        <f t="shared" ref="D45" si="235">C45/C$6</f>
        <v>0</v>
      </c>
      <c r="E45" s="146"/>
      <c r="F45" s="82">
        <f t="shared" ref="F45" si="236">E45/E$6</f>
        <v>0</v>
      </c>
      <c r="G45" s="146"/>
      <c r="H45" s="82">
        <f t="shared" si="215"/>
        <v>0</v>
      </c>
      <c r="I45" s="146"/>
      <c r="J45" s="82">
        <f t="shared" si="216"/>
        <v>0</v>
      </c>
      <c r="K45" s="146"/>
      <c r="L45" s="82">
        <f t="shared" si="217"/>
        <v>0</v>
      </c>
      <c r="M45" s="146"/>
      <c r="N45" s="82">
        <f t="shared" si="218"/>
        <v>0</v>
      </c>
      <c r="O45" s="146"/>
      <c r="P45" s="84">
        <f t="shared" si="219"/>
        <v>0</v>
      </c>
      <c r="Q45" s="142"/>
      <c r="R45" s="82">
        <f t="shared" si="220"/>
        <v>0</v>
      </c>
      <c r="S45" s="146"/>
      <c r="T45" s="90">
        <f t="shared" si="221"/>
        <v>0</v>
      </c>
      <c r="U45" s="146"/>
      <c r="V45" s="82">
        <f t="shared" si="222"/>
        <v>0</v>
      </c>
      <c r="W45" s="146"/>
      <c r="X45" s="82">
        <f t="shared" si="223"/>
        <v>0</v>
      </c>
      <c r="Y45" s="146"/>
      <c r="Z45" s="84">
        <f t="shared" si="224"/>
        <v>0</v>
      </c>
    </row>
    <row r="46" spans="1:26" x14ac:dyDescent="0.25">
      <c r="A46" s="71">
        <v>9</v>
      </c>
      <c r="B46" s="141"/>
      <c r="C46" s="142"/>
      <c r="D46" s="82">
        <f t="shared" ref="D46" si="237">C46/C$6</f>
        <v>0</v>
      </c>
      <c r="E46" s="146"/>
      <c r="F46" s="82">
        <f t="shared" ref="F46" si="238">E46/E$6</f>
        <v>0</v>
      </c>
      <c r="G46" s="146"/>
      <c r="H46" s="82">
        <f t="shared" si="215"/>
        <v>0</v>
      </c>
      <c r="I46" s="146"/>
      <c r="J46" s="82">
        <f t="shared" si="216"/>
        <v>0</v>
      </c>
      <c r="K46" s="146"/>
      <c r="L46" s="82">
        <f t="shared" si="217"/>
        <v>0</v>
      </c>
      <c r="M46" s="146"/>
      <c r="N46" s="82">
        <f t="shared" si="218"/>
        <v>0</v>
      </c>
      <c r="O46" s="146"/>
      <c r="P46" s="84">
        <f t="shared" si="219"/>
        <v>0</v>
      </c>
      <c r="Q46" s="142"/>
      <c r="R46" s="82">
        <f t="shared" si="220"/>
        <v>0</v>
      </c>
      <c r="S46" s="146"/>
      <c r="T46" s="90">
        <f t="shared" si="221"/>
        <v>0</v>
      </c>
      <c r="U46" s="146"/>
      <c r="V46" s="82">
        <f t="shared" si="222"/>
        <v>0</v>
      </c>
      <c r="W46" s="146"/>
      <c r="X46" s="82">
        <f t="shared" si="223"/>
        <v>0</v>
      </c>
      <c r="Y46" s="146"/>
      <c r="Z46" s="84">
        <f t="shared" si="224"/>
        <v>0</v>
      </c>
    </row>
    <row r="47" spans="1:26" x14ac:dyDescent="0.25">
      <c r="A47" s="71">
        <v>10</v>
      </c>
      <c r="B47" s="141"/>
      <c r="C47" s="142"/>
      <c r="D47" s="82">
        <f t="shared" ref="D47" si="239">C47/C$6</f>
        <v>0</v>
      </c>
      <c r="E47" s="146"/>
      <c r="F47" s="82">
        <f t="shared" ref="F47" si="240">E47/E$6</f>
        <v>0</v>
      </c>
      <c r="G47" s="146"/>
      <c r="H47" s="82">
        <f t="shared" si="215"/>
        <v>0</v>
      </c>
      <c r="I47" s="146"/>
      <c r="J47" s="82">
        <f t="shared" si="216"/>
        <v>0</v>
      </c>
      <c r="K47" s="146"/>
      <c r="L47" s="82">
        <f t="shared" si="217"/>
        <v>0</v>
      </c>
      <c r="M47" s="146"/>
      <c r="N47" s="82">
        <f t="shared" si="218"/>
        <v>0</v>
      </c>
      <c r="O47" s="146"/>
      <c r="P47" s="84">
        <f t="shared" si="219"/>
        <v>0</v>
      </c>
      <c r="Q47" s="142"/>
      <c r="R47" s="82">
        <f t="shared" si="220"/>
        <v>0</v>
      </c>
      <c r="S47" s="146"/>
      <c r="T47" s="90">
        <f t="shared" si="221"/>
        <v>0</v>
      </c>
      <c r="U47" s="146"/>
      <c r="V47" s="82">
        <f t="shared" si="222"/>
        <v>0</v>
      </c>
      <c r="W47" s="146"/>
      <c r="X47" s="82">
        <f t="shared" si="223"/>
        <v>0</v>
      </c>
      <c r="Y47" s="146"/>
      <c r="Z47" s="84">
        <f t="shared" si="224"/>
        <v>0</v>
      </c>
    </row>
    <row r="48" spans="1:26" x14ac:dyDescent="0.25">
      <c r="A48" s="71">
        <v>11</v>
      </c>
      <c r="B48" s="141"/>
      <c r="C48" s="142"/>
      <c r="D48" s="82">
        <f t="shared" ref="D48" si="241">C48/C$6</f>
        <v>0</v>
      </c>
      <c r="E48" s="146"/>
      <c r="F48" s="82">
        <f t="shared" ref="F48" si="242">E48/E$6</f>
        <v>0</v>
      </c>
      <c r="G48" s="146"/>
      <c r="H48" s="82">
        <f t="shared" si="215"/>
        <v>0</v>
      </c>
      <c r="I48" s="146"/>
      <c r="J48" s="82">
        <f t="shared" si="216"/>
        <v>0</v>
      </c>
      <c r="K48" s="146"/>
      <c r="L48" s="82">
        <f t="shared" si="217"/>
        <v>0</v>
      </c>
      <c r="M48" s="146"/>
      <c r="N48" s="82">
        <f t="shared" si="218"/>
        <v>0</v>
      </c>
      <c r="O48" s="146"/>
      <c r="P48" s="84">
        <f t="shared" si="219"/>
        <v>0</v>
      </c>
      <c r="Q48" s="142"/>
      <c r="R48" s="82">
        <f t="shared" si="220"/>
        <v>0</v>
      </c>
      <c r="S48" s="146"/>
      <c r="T48" s="90">
        <f t="shared" si="221"/>
        <v>0</v>
      </c>
      <c r="U48" s="146"/>
      <c r="V48" s="82">
        <f t="shared" si="222"/>
        <v>0</v>
      </c>
      <c r="W48" s="146"/>
      <c r="X48" s="82">
        <f t="shared" si="223"/>
        <v>0</v>
      </c>
      <c r="Y48" s="146"/>
      <c r="Z48" s="84">
        <f t="shared" si="224"/>
        <v>0</v>
      </c>
    </row>
    <row r="49" spans="1:26" x14ac:dyDescent="0.25">
      <c r="A49" s="71">
        <v>12</v>
      </c>
      <c r="B49" s="141"/>
      <c r="C49" s="142"/>
      <c r="D49" s="82">
        <f t="shared" ref="D49" si="243">C49/C$6</f>
        <v>0</v>
      </c>
      <c r="E49" s="146"/>
      <c r="F49" s="82">
        <f t="shared" ref="F49" si="244">E49/E$6</f>
        <v>0</v>
      </c>
      <c r="G49" s="146"/>
      <c r="H49" s="82">
        <f t="shared" si="215"/>
        <v>0</v>
      </c>
      <c r="I49" s="146"/>
      <c r="J49" s="82">
        <f t="shared" si="216"/>
        <v>0</v>
      </c>
      <c r="K49" s="146"/>
      <c r="L49" s="82">
        <f t="shared" si="217"/>
        <v>0</v>
      </c>
      <c r="M49" s="146"/>
      <c r="N49" s="82">
        <f t="shared" si="218"/>
        <v>0</v>
      </c>
      <c r="O49" s="146"/>
      <c r="P49" s="84">
        <f t="shared" si="219"/>
        <v>0</v>
      </c>
      <c r="Q49" s="142"/>
      <c r="R49" s="82">
        <f t="shared" si="220"/>
        <v>0</v>
      </c>
      <c r="S49" s="146"/>
      <c r="T49" s="90">
        <f t="shared" si="221"/>
        <v>0</v>
      </c>
      <c r="U49" s="146"/>
      <c r="V49" s="82">
        <f t="shared" si="222"/>
        <v>0</v>
      </c>
      <c r="W49" s="146"/>
      <c r="X49" s="82">
        <f t="shared" si="223"/>
        <v>0</v>
      </c>
      <c r="Y49" s="146"/>
      <c r="Z49" s="84">
        <f t="shared" si="224"/>
        <v>0</v>
      </c>
    </row>
    <row r="50" spans="1:26" x14ac:dyDescent="0.25">
      <c r="A50" s="71">
        <v>13</v>
      </c>
      <c r="B50" s="141"/>
      <c r="C50" s="142"/>
      <c r="D50" s="82">
        <f t="shared" ref="D50" si="245">C50/C$6</f>
        <v>0</v>
      </c>
      <c r="E50" s="146"/>
      <c r="F50" s="82">
        <f t="shared" ref="F50" si="246">E50/E$6</f>
        <v>0</v>
      </c>
      <c r="G50" s="146"/>
      <c r="H50" s="82">
        <f t="shared" si="215"/>
        <v>0</v>
      </c>
      <c r="I50" s="146"/>
      <c r="J50" s="82">
        <f t="shared" si="216"/>
        <v>0</v>
      </c>
      <c r="K50" s="146"/>
      <c r="L50" s="82">
        <f t="shared" si="217"/>
        <v>0</v>
      </c>
      <c r="M50" s="146"/>
      <c r="N50" s="82">
        <f t="shared" si="218"/>
        <v>0</v>
      </c>
      <c r="O50" s="146"/>
      <c r="P50" s="84">
        <f t="shared" si="219"/>
        <v>0</v>
      </c>
      <c r="Q50" s="142"/>
      <c r="R50" s="82">
        <f t="shared" si="220"/>
        <v>0</v>
      </c>
      <c r="S50" s="146"/>
      <c r="T50" s="90">
        <f t="shared" si="221"/>
        <v>0</v>
      </c>
      <c r="U50" s="146"/>
      <c r="V50" s="82">
        <f t="shared" si="222"/>
        <v>0</v>
      </c>
      <c r="W50" s="146"/>
      <c r="X50" s="82">
        <f t="shared" si="223"/>
        <v>0</v>
      </c>
      <c r="Y50" s="146"/>
      <c r="Z50" s="84">
        <f t="shared" si="224"/>
        <v>0</v>
      </c>
    </row>
    <row r="51" spans="1:26" x14ac:dyDescent="0.25">
      <c r="A51" s="71">
        <v>14</v>
      </c>
      <c r="B51" s="141"/>
      <c r="C51" s="142"/>
      <c r="D51" s="82">
        <f t="shared" ref="D51" si="247">C51/C$6</f>
        <v>0</v>
      </c>
      <c r="E51" s="146"/>
      <c r="F51" s="82">
        <f t="shared" ref="F51" si="248">E51/E$6</f>
        <v>0</v>
      </c>
      <c r="G51" s="146"/>
      <c r="H51" s="82">
        <f t="shared" si="215"/>
        <v>0</v>
      </c>
      <c r="I51" s="146"/>
      <c r="J51" s="82">
        <f t="shared" si="216"/>
        <v>0</v>
      </c>
      <c r="K51" s="146"/>
      <c r="L51" s="82">
        <f t="shared" si="217"/>
        <v>0</v>
      </c>
      <c r="M51" s="146"/>
      <c r="N51" s="82">
        <f t="shared" si="218"/>
        <v>0</v>
      </c>
      <c r="O51" s="146"/>
      <c r="P51" s="84">
        <f t="shared" si="219"/>
        <v>0</v>
      </c>
      <c r="Q51" s="142"/>
      <c r="R51" s="82">
        <f t="shared" si="220"/>
        <v>0</v>
      </c>
      <c r="S51" s="146"/>
      <c r="T51" s="90">
        <f t="shared" si="221"/>
        <v>0</v>
      </c>
      <c r="U51" s="146"/>
      <c r="V51" s="82">
        <f t="shared" si="222"/>
        <v>0</v>
      </c>
      <c r="W51" s="146"/>
      <c r="X51" s="82">
        <f t="shared" si="223"/>
        <v>0</v>
      </c>
      <c r="Y51" s="146"/>
      <c r="Z51" s="84">
        <f t="shared" si="224"/>
        <v>0</v>
      </c>
    </row>
    <row r="52" spans="1:26" x14ac:dyDescent="0.25">
      <c r="A52" s="71">
        <v>15</v>
      </c>
      <c r="B52" s="141"/>
      <c r="C52" s="142"/>
      <c r="D52" s="82">
        <f t="shared" ref="D52" si="249">C52/C$6</f>
        <v>0</v>
      </c>
      <c r="E52" s="146"/>
      <c r="F52" s="82">
        <f t="shared" ref="F52" si="250">E52/E$6</f>
        <v>0</v>
      </c>
      <c r="G52" s="146"/>
      <c r="H52" s="82">
        <f t="shared" si="215"/>
        <v>0</v>
      </c>
      <c r="I52" s="146"/>
      <c r="J52" s="82">
        <f t="shared" si="216"/>
        <v>0</v>
      </c>
      <c r="K52" s="146"/>
      <c r="L52" s="82">
        <f t="shared" si="217"/>
        <v>0</v>
      </c>
      <c r="M52" s="146"/>
      <c r="N52" s="82">
        <f t="shared" si="218"/>
        <v>0</v>
      </c>
      <c r="O52" s="146"/>
      <c r="P52" s="84">
        <f t="shared" si="219"/>
        <v>0</v>
      </c>
      <c r="Q52" s="142"/>
      <c r="R52" s="82">
        <f t="shared" si="220"/>
        <v>0</v>
      </c>
      <c r="S52" s="146"/>
      <c r="T52" s="90">
        <f t="shared" si="221"/>
        <v>0</v>
      </c>
      <c r="U52" s="146"/>
      <c r="V52" s="82">
        <f t="shared" si="222"/>
        <v>0</v>
      </c>
      <c r="W52" s="146"/>
      <c r="X52" s="82">
        <f t="shared" si="223"/>
        <v>0</v>
      </c>
      <c r="Y52" s="146"/>
      <c r="Z52" s="84">
        <f t="shared" si="224"/>
        <v>0</v>
      </c>
    </row>
    <row r="53" spans="1:26" x14ac:dyDescent="0.25">
      <c r="A53" s="71">
        <v>16</v>
      </c>
      <c r="B53" s="141"/>
      <c r="C53" s="142"/>
      <c r="D53" s="82">
        <f t="shared" ref="D53" si="251">C53/C$6</f>
        <v>0</v>
      </c>
      <c r="E53" s="146"/>
      <c r="F53" s="82">
        <f t="shared" ref="F53" si="252">E53/E$6</f>
        <v>0</v>
      </c>
      <c r="G53" s="146"/>
      <c r="H53" s="82">
        <f t="shared" si="215"/>
        <v>0</v>
      </c>
      <c r="I53" s="146"/>
      <c r="J53" s="82">
        <f t="shared" si="216"/>
        <v>0</v>
      </c>
      <c r="K53" s="146"/>
      <c r="L53" s="82">
        <f t="shared" si="217"/>
        <v>0</v>
      </c>
      <c r="M53" s="146"/>
      <c r="N53" s="82">
        <f t="shared" si="218"/>
        <v>0</v>
      </c>
      <c r="O53" s="146"/>
      <c r="P53" s="84">
        <f t="shared" si="219"/>
        <v>0</v>
      </c>
      <c r="Q53" s="142"/>
      <c r="R53" s="82">
        <f t="shared" si="220"/>
        <v>0</v>
      </c>
      <c r="S53" s="146"/>
      <c r="T53" s="90">
        <f t="shared" si="221"/>
        <v>0</v>
      </c>
      <c r="U53" s="146"/>
      <c r="V53" s="82">
        <f t="shared" si="222"/>
        <v>0</v>
      </c>
      <c r="W53" s="146"/>
      <c r="X53" s="82">
        <f t="shared" si="223"/>
        <v>0</v>
      </c>
      <c r="Y53" s="146"/>
      <c r="Z53" s="84">
        <f t="shared" si="224"/>
        <v>0</v>
      </c>
    </row>
    <row r="54" spans="1:26" x14ac:dyDescent="0.25">
      <c r="A54" s="71">
        <v>17</v>
      </c>
      <c r="B54" s="141"/>
      <c r="C54" s="142"/>
      <c r="D54" s="82">
        <f t="shared" ref="D54" si="253">C54/C$6</f>
        <v>0</v>
      </c>
      <c r="E54" s="146"/>
      <c r="F54" s="82">
        <f t="shared" ref="F54" si="254">E54/E$6</f>
        <v>0</v>
      </c>
      <c r="G54" s="146"/>
      <c r="H54" s="82">
        <f t="shared" si="215"/>
        <v>0</v>
      </c>
      <c r="I54" s="146"/>
      <c r="J54" s="82">
        <f t="shared" si="216"/>
        <v>0</v>
      </c>
      <c r="K54" s="146"/>
      <c r="L54" s="82">
        <f t="shared" si="217"/>
        <v>0</v>
      </c>
      <c r="M54" s="146"/>
      <c r="N54" s="82">
        <f t="shared" si="218"/>
        <v>0</v>
      </c>
      <c r="O54" s="146"/>
      <c r="P54" s="84">
        <f t="shared" si="219"/>
        <v>0</v>
      </c>
      <c r="Q54" s="142"/>
      <c r="R54" s="82">
        <f t="shared" si="220"/>
        <v>0</v>
      </c>
      <c r="S54" s="146"/>
      <c r="T54" s="90">
        <f t="shared" si="221"/>
        <v>0</v>
      </c>
      <c r="U54" s="146"/>
      <c r="V54" s="82">
        <f t="shared" si="222"/>
        <v>0</v>
      </c>
      <c r="W54" s="146"/>
      <c r="X54" s="82">
        <f t="shared" si="223"/>
        <v>0</v>
      </c>
      <c r="Y54" s="146"/>
      <c r="Z54" s="84">
        <f t="shared" si="224"/>
        <v>0</v>
      </c>
    </row>
    <row r="55" spans="1:26" x14ac:dyDescent="0.25">
      <c r="A55" s="71">
        <v>18</v>
      </c>
      <c r="B55" s="141"/>
      <c r="C55" s="142"/>
      <c r="D55" s="82">
        <f t="shared" ref="D55" si="255">C55/C$6</f>
        <v>0</v>
      </c>
      <c r="E55" s="146"/>
      <c r="F55" s="82">
        <f t="shared" ref="F55" si="256">E55/E$6</f>
        <v>0</v>
      </c>
      <c r="G55" s="146"/>
      <c r="H55" s="82">
        <f t="shared" si="215"/>
        <v>0</v>
      </c>
      <c r="I55" s="146"/>
      <c r="J55" s="82">
        <f t="shared" si="216"/>
        <v>0</v>
      </c>
      <c r="K55" s="146"/>
      <c r="L55" s="82">
        <f t="shared" si="217"/>
        <v>0</v>
      </c>
      <c r="M55" s="146"/>
      <c r="N55" s="82">
        <f t="shared" si="218"/>
        <v>0</v>
      </c>
      <c r="O55" s="146"/>
      <c r="P55" s="84">
        <f t="shared" si="219"/>
        <v>0</v>
      </c>
      <c r="Q55" s="142"/>
      <c r="R55" s="82">
        <f t="shared" si="220"/>
        <v>0</v>
      </c>
      <c r="S55" s="146"/>
      <c r="T55" s="90">
        <f t="shared" si="221"/>
        <v>0</v>
      </c>
      <c r="U55" s="146"/>
      <c r="V55" s="82">
        <f t="shared" si="222"/>
        <v>0</v>
      </c>
      <c r="W55" s="146"/>
      <c r="X55" s="82">
        <f t="shared" si="223"/>
        <v>0</v>
      </c>
      <c r="Y55" s="146"/>
      <c r="Z55" s="84">
        <f t="shared" si="224"/>
        <v>0</v>
      </c>
    </row>
    <row r="56" spans="1:26" x14ac:dyDescent="0.25">
      <c r="A56" s="71">
        <v>19</v>
      </c>
      <c r="B56" s="141"/>
      <c r="C56" s="142"/>
      <c r="D56" s="82">
        <f t="shared" ref="D56" si="257">C56/C$6</f>
        <v>0</v>
      </c>
      <c r="E56" s="146"/>
      <c r="F56" s="82">
        <f t="shared" ref="F56" si="258">E56/E$6</f>
        <v>0</v>
      </c>
      <c r="G56" s="146"/>
      <c r="H56" s="82">
        <f t="shared" si="215"/>
        <v>0</v>
      </c>
      <c r="I56" s="146"/>
      <c r="J56" s="82">
        <f t="shared" si="216"/>
        <v>0</v>
      </c>
      <c r="K56" s="146"/>
      <c r="L56" s="82">
        <f t="shared" si="217"/>
        <v>0</v>
      </c>
      <c r="M56" s="146"/>
      <c r="N56" s="82">
        <f t="shared" si="218"/>
        <v>0</v>
      </c>
      <c r="O56" s="146"/>
      <c r="P56" s="84">
        <f t="shared" si="219"/>
        <v>0</v>
      </c>
      <c r="Q56" s="142"/>
      <c r="R56" s="82">
        <f t="shared" si="220"/>
        <v>0</v>
      </c>
      <c r="S56" s="146"/>
      <c r="T56" s="90">
        <f t="shared" si="221"/>
        <v>0</v>
      </c>
      <c r="U56" s="146"/>
      <c r="V56" s="82">
        <f t="shared" si="222"/>
        <v>0</v>
      </c>
      <c r="W56" s="146"/>
      <c r="X56" s="82">
        <f t="shared" si="223"/>
        <v>0</v>
      </c>
      <c r="Y56" s="146"/>
      <c r="Z56" s="84">
        <f t="shared" si="224"/>
        <v>0</v>
      </c>
    </row>
    <row r="57" spans="1:26" ht="14.4" thickBot="1" x14ac:dyDescent="0.3">
      <c r="A57" s="72">
        <v>20</v>
      </c>
      <c r="B57" s="143"/>
      <c r="C57" s="144"/>
      <c r="D57" s="85">
        <f t="shared" ref="D57" si="259">C57/C$6</f>
        <v>0</v>
      </c>
      <c r="E57" s="147"/>
      <c r="F57" s="85">
        <f t="shared" ref="F57" si="260">E57/E$6</f>
        <v>0</v>
      </c>
      <c r="G57" s="147"/>
      <c r="H57" s="85">
        <f t="shared" si="215"/>
        <v>0</v>
      </c>
      <c r="I57" s="147"/>
      <c r="J57" s="85">
        <f t="shared" si="216"/>
        <v>0</v>
      </c>
      <c r="K57" s="147"/>
      <c r="L57" s="85">
        <f t="shared" si="217"/>
        <v>0</v>
      </c>
      <c r="M57" s="147"/>
      <c r="N57" s="85">
        <f t="shared" si="218"/>
        <v>0</v>
      </c>
      <c r="O57" s="147"/>
      <c r="P57" s="86">
        <f t="shared" si="219"/>
        <v>0</v>
      </c>
      <c r="Q57" s="144"/>
      <c r="R57" s="85">
        <f t="shared" si="220"/>
        <v>0</v>
      </c>
      <c r="S57" s="147"/>
      <c r="T57" s="91">
        <f t="shared" si="221"/>
        <v>0</v>
      </c>
      <c r="U57" s="147"/>
      <c r="V57" s="85">
        <f t="shared" si="222"/>
        <v>0</v>
      </c>
      <c r="W57" s="147"/>
      <c r="X57" s="85">
        <f t="shared" si="223"/>
        <v>0</v>
      </c>
      <c r="Y57" s="147"/>
      <c r="Z57" s="86">
        <f t="shared" si="224"/>
        <v>0</v>
      </c>
    </row>
    <row r="58" spans="1:26" x14ac:dyDescent="0.25">
      <c r="A58" s="342" t="s">
        <v>102</v>
      </c>
      <c r="B58" s="343"/>
      <c r="C58" s="77">
        <f>SUM(C38:C57)</f>
        <v>200000</v>
      </c>
      <c r="D58" s="74"/>
      <c r="E58" s="73">
        <f t="shared" ref="E58" si="261">SUM(E38:E57)</f>
        <v>200000</v>
      </c>
      <c r="F58" s="74"/>
      <c r="G58" s="73">
        <f t="shared" ref="G58" si="262">SUM(G38:G57)</f>
        <v>200000</v>
      </c>
      <c r="H58" s="74"/>
      <c r="I58" s="73">
        <f t="shared" ref="I58" si="263">SUM(I38:I57)</f>
        <v>200000</v>
      </c>
      <c r="J58" s="74"/>
      <c r="K58" s="73">
        <f t="shared" ref="K58" si="264">SUM(K38:K57)</f>
        <v>200000</v>
      </c>
      <c r="L58" s="74"/>
      <c r="M58" s="73">
        <f t="shared" ref="M58" si="265">SUM(M38:M57)</f>
        <v>200000</v>
      </c>
      <c r="N58" s="74"/>
      <c r="O58" s="73">
        <f t="shared" ref="O58" si="266">SUM(O38:O57)</f>
        <v>200000</v>
      </c>
      <c r="P58" s="75"/>
      <c r="Q58" s="77">
        <f t="shared" ref="Q58" si="267">SUM(Q38:Q57)</f>
        <v>200000</v>
      </c>
      <c r="R58" s="74"/>
      <c r="S58" s="73">
        <f t="shared" ref="S58" si="268">SUM(S38:S57)</f>
        <v>200000</v>
      </c>
      <c r="T58" s="76"/>
      <c r="U58" s="167">
        <f t="shared" ref="U58" si="269">SUM(U38:U57)</f>
        <v>200000</v>
      </c>
      <c r="V58" s="74"/>
      <c r="W58" s="73">
        <f t="shared" ref="W58" si="270">SUM(W38:W57)</f>
        <v>200000</v>
      </c>
      <c r="X58" s="74"/>
      <c r="Y58" s="73">
        <f t="shared" ref="Y58" si="271">SUM(Y38:Y57)</f>
        <v>200000</v>
      </c>
      <c r="Z58" s="75"/>
    </row>
    <row r="59" spans="1:26" ht="14.4" thickBot="1" x14ac:dyDescent="0.3">
      <c r="A59" s="344" t="s">
        <v>103</v>
      </c>
      <c r="B59" s="345"/>
      <c r="C59" s="78"/>
      <c r="D59" s="80">
        <f>SUM(D38:D57)</f>
        <v>5.0720227226617974E-3</v>
      </c>
      <c r="E59" s="79"/>
      <c r="F59" s="80">
        <f t="shared" ref="F59" si="272">SUM(F38:F57)</f>
        <v>5.2410901467505244E-3</v>
      </c>
      <c r="G59" s="79"/>
      <c r="H59" s="80">
        <f t="shared" ref="H59" si="273">SUM(H38:H57)</f>
        <v>5.0720227226617974E-3</v>
      </c>
      <c r="I59" s="79"/>
      <c r="J59" s="80">
        <f t="shared" ref="J59" si="274">SUM(J38:J57)</f>
        <v>5.0720227226617974E-3</v>
      </c>
      <c r="K59" s="79"/>
      <c r="L59" s="80">
        <f t="shared" ref="L59" si="275">SUM(L38:L57)</f>
        <v>5.2410901467505244E-3</v>
      </c>
      <c r="M59" s="79"/>
      <c r="N59" s="80">
        <f t="shared" ref="N59" si="276">SUM(N38:N57)</f>
        <v>5.0720227226617974E-3</v>
      </c>
      <c r="O59" s="79"/>
      <c r="P59" s="87">
        <f t="shared" ref="P59" si="277">SUM(P38:P57)</f>
        <v>5.2410901467505244E-3</v>
      </c>
      <c r="Q59" s="78"/>
      <c r="R59" s="80">
        <f t="shared" ref="R59" si="278">SUM(R38:R57)</f>
        <v>5.0720227226617974E-3</v>
      </c>
      <c r="S59" s="79"/>
      <c r="T59" s="92">
        <f t="shared" ref="T59" si="279">SUM(T38:T57)</f>
        <v>5.0720227226617974E-3</v>
      </c>
      <c r="U59" s="168"/>
      <c r="V59" s="80">
        <f t="shared" ref="V59" si="280">SUM(V38:V57)</f>
        <v>5.6154537286612757E-3</v>
      </c>
      <c r="W59" s="79"/>
      <c r="X59" s="80">
        <f t="shared" ref="X59" si="281">SUM(X38:X57)</f>
        <v>5.0720227226617974E-3</v>
      </c>
      <c r="Y59" s="79"/>
      <c r="Z59" s="87">
        <f t="shared" ref="Z59" si="282">SUM(Z38:Z57)</f>
        <v>5.2410901467505244E-3</v>
      </c>
    </row>
    <row r="60" spans="1:26" ht="24" customHeight="1" thickBot="1" x14ac:dyDescent="0.3">
      <c r="A60" s="346" t="s">
        <v>104</v>
      </c>
      <c r="B60" s="347"/>
      <c r="C60" s="348">
        <f>(SUM(C58:Z58))/(SUM(C36,E36,G36,I36,K36,M36,O36,Q36,S36,U36,W36,Y36))</f>
        <v>5.1692943913155855E-3</v>
      </c>
      <c r="D60" s="349"/>
    </row>
  </sheetData>
  <sheetProtection algorithmName="SHA-512" hashValue="COhreEdEByLfCe/NlzMwLM+OUwUuGxO45m+wWq3L+DJrni0A4WA28VRixXrz18kh0tXRiZgmZOiyXHNB2QmAIw==" saltValue="wR+Fdar8HjfwjqDdNkWnzQ==" spinCount="100000" sheet="1" objects="1" scenarios="1"/>
  <mergeCells count="28">
    <mergeCell ref="A59:B59"/>
    <mergeCell ref="A60:B60"/>
    <mergeCell ref="Q4:Z4"/>
    <mergeCell ref="C4:P4"/>
    <mergeCell ref="C34:P34"/>
    <mergeCell ref="Q34:Z34"/>
    <mergeCell ref="C60:D60"/>
    <mergeCell ref="S35:T35"/>
    <mergeCell ref="S5:T5"/>
    <mergeCell ref="U5:V5"/>
    <mergeCell ref="W5:X5"/>
    <mergeCell ref="Y5:Z5"/>
    <mergeCell ref="U35:V35"/>
    <mergeCell ref="W35:X35"/>
    <mergeCell ref="Y35:Z35"/>
    <mergeCell ref="C30:D30"/>
    <mergeCell ref="A34:B34"/>
    <mergeCell ref="A36:B36"/>
    <mergeCell ref="A37:B37"/>
    <mergeCell ref="A58:B58"/>
    <mergeCell ref="A7:B7"/>
    <mergeCell ref="A4:B4"/>
    <mergeCell ref="A5:B5"/>
    <mergeCell ref="A6:B6"/>
    <mergeCell ref="A35:B35"/>
    <mergeCell ref="A28:B28"/>
    <mergeCell ref="A29:B29"/>
    <mergeCell ref="A30:B30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EFEB6-19C3-461C-AA49-6625F65F545C}">
  <dimension ref="A1:M59"/>
  <sheetViews>
    <sheetView showGridLines="0" zoomScale="115" zoomScaleNormal="115" workbookViewId="0">
      <selection activeCell="M19" sqref="M19"/>
    </sheetView>
  </sheetViews>
  <sheetFormatPr defaultRowHeight="14.4" x14ac:dyDescent="0.3"/>
  <cols>
    <col min="1" max="1" width="27.5546875" style="117" customWidth="1"/>
    <col min="2" max="2" width="20.33203125" style="117" customWidth="1"/>
    <col min="3" max="3" width="19" style="117" customWidth="1"/>
    <col min="4" max="4" width="21" style="117" customWidth="1"/>
    <col min="5" max="5" width="17.77734375" style="117" customWidth="1"/>
    <col min="6" max="6" width="22.6640625" style="117" customWidth="1"/>
    <col min="7" max="7" width="5.109375" style="117" customWidth="1"/>
    <col min="8" max="8" width="27.5546875" style="117" customWidth="1"/>
    <col min="9" max="9" width="20.44140625" style="117" customWidth="1"/>
    <col min="10" max="10" width="17.77734375" style="117" customWidth="1"/>
    <col min="11" max="11" width="20.109375" style="117" customWidth="1"/>
    <col min="12" max="12" width="17.77734375" style="117" customWidth="1"/>
    <col min="13" max="13" width="21.109375" style="117" customWidth="1"/>
    <col min="14" max="16384" width="8.88671875" style="117"/>
  </cols>
  <sheetData>
    <row r="1" spans="1:13" x14ac:dyDescent="0.3">
      <c r="A1" s="125" t="s">
        <v>146</v>
      </c>
      <c r="B1" s="131" t="str">
        <f>Baseload!C3</f>
        <v>ABC COAL, INC.</v>
      </c>
      <c r="C1" s="132"/>
      <c r="D1" s="133"/>
      <c r="H1" s="120"/>
      <c r="I1" s="120"/>
    </row>
    <row r="2" spans="1:13" x14ac:dyDescent="0.3">
      <c r="A2" s="125" t="s">
        <v>147</v>
      </c>
      <c r="B2" s="131" t="s">
        <v>148</v>
      </c>
      <c r="C2" s="132"/>
      <c r="D2" s="133"/>
      <c r="H2" s="125" t="s">
        <v>147</v>
      </c>
      <c r="I2" s="131" t="s">
        <v>160</v>
      </c>
      <c r="J2" s="132"/>
      <c r="K2" s="133"/>
    </row>
    <row r="3" spans="1:13" ht="9" customHeight="1" x14ac:dyDescent="0.3"/>
    <row r="4" spans="1:13" s="118" customFormat="1" ht="28.8" x14ac:dyDescent="0.3">
      <c r="A4" s="149"/>
      <c r="B4" s="150" t="s">
        <v>165</v>
      </c>
      <c r="C4" s="150" t="s">
        <v>169</v>
      </c>
      <c r="D4" s="122" t="s">
        <v>172</v>
      </c>
      <c r="E4" s="150" t="s">
        <v>156</v>
      </c>
      <c r="F4" s="122" t="s">
        <v>167</v>
      </c>
      <c r="H4" s="149"/>
      <c r="I4" s="150" t="s">
        <v>165</v>
      </c>
      <c r="J4" s="150" t="s">
        <v>169</v>
      </c>
      <c r="K4" s="122" t="s">
        <v>172</v>
      </c>
      <c r="L4" s="150" t="s">
        <v>156</v>
      </c>
      <c r="M4" s="122" t="s">
        <v>167</v>
      </c>
    </row>
    <row r="5" spans="1:13" x14ac:dyDescent="0.3">
      <c r="A5" s="125" t="s">
        <v>149</v>
      </c>
      <c r="B5" s="135">
        <v>43570.35</v>
      </c>
      <c r="C5" s="362">
        <v>279769170.27999997</v>
      </c>
      <c r="D5" s="363"/>
      <c r="E5" s="123">
        <f>SUM(C5:D5)</f>
        <v>279769170.27999997</v>
      </c>
      <c r="F5" s="123">
        <f>IFERROR((E5/B5),0)</f>
        <v>6421.0907252294273</v>
      </c>
      <c r="H5" s="125" t="s">
        <v>149</v>
      </c>
      <c r="I5" s="123">
        <f>B5</f>
        <v>43570.35</v>
      </c>
      <c r="J5" s="364">
        <f>E5</f>
        <v>279769170.27999997</v>
      </c>
      <c r="K5" s="365"/>
      <c r="L5" s="123">
        <f>SUM(J5:K5)</f>
        <v>279769170.27999997</v>
      </c>
      <c r="M5" s="123">
        <f>IFERROR((L5/I5),0)</f>
        <v>6421.0907252294273</v>
      </c>
    </row>
    <row r="6" spans="1:13" x14ac:dyDescent="0.3">
      <c r="A6" s="125" t="s">
        <v>150</v>
      </c>
      <c r="B6" s="135">
        <v>0</v>
      </c>
      <c r="C6" s="135">
        <v>0</v>
      </c>
      <c r="D6" s="135">
        <v>0</v>
      </c>
      <c r="E6" s="123">
        <f>SUM(C6:D6)</f>
        <v>0</v>
      </c>
      <c r="F6" s="123">
        <f>IFERROR((E6/B6),0)</f>
        <v>0</v>
      </c>
      <c r="H6" s="125" t="s">
        <v>150</v>
      </c>
      <c r="I6" s="123">
        <f>B6+B26+B46</f>
        <v>0</v>
      </c>
      <c r="J6" s="123">
        <f>C6+C26+C46</f>
        <v>0</v>
      </c>
      <c r="K6" s="123">
        <f t="shared" ref="K6" si="0">D6+D26+D46</f>
        <v>0</v>
      </c>
      <c r="L6" s="123">
        <f>SUM(J6:K6)</f>
        <v>0</v>
      </c>
      <c r="M6" s="123">
        <f>IFERROR((L6/I6),0)</f>
        <v>0</v>
      </c>
    </row>
    <row r="7" spans="1:13" x14ac:dyDescent="0.3">
      <c r="A7" s="359" t="s">
        <v>151</v>
      </c>
      <c r="B7" s="360"/>
      <c r="C7" s="360"/>
      <c r="D7" s="360"/>
      <c r="E7" s="360"/>
      <c r="F7" s="361"/>
      <c r="H7" s="359" t="s">
        <v>151</v>
      </c>
      <c r="I7" s="360"/>
      <c r="J7" s="360"/>
      <c r="K7" s="360"/>
      <c r="L7" s="360"/>
      <c r="M7" s="361"/>
    </row>
    <row r="8" spans="1:13" x14ac:dyDescent="0.3">
      <c r="A8" s="125" t="str">
        <f>Baseload!A37</f>
        <v>Fuel Supplier 1:</v>
      </c>
      <c r="B8" s="135">
        <v>47234.36</v>
      </c>
      <c r="C8" s="135">
        <v>223634551.99000001</v>
      </c>
      <c r="D8" s="135">
        <v>0</v>
      </c>
      <c r="E8" s="123">
        <f t="shared" ref="E8:E12" si="1">SUM(C8:D8)</f>
        <v>223634551.99000001</v>
      </c>
      <c r="F8" s="123">
        <f t="shared" ref="F8:F16" si="2">IFERROR((E8/B8),0)</f>
        <v>4734.5735602218383</v>
      </c>
      <c r="H8" s="125" t="str">
        <f>A8</f>
        <v>Fuel Supplier 1:</v>
      </c>
      <c r="I8" s="123">
        <f>B8+B28+B48</f>
        <v>47234.36</v>
      </c>
      <c r="J8" s="123">
        <f>C8+C28+C48</f>
        <v>223634551.99000001</v>
      </c>
      <c r="K8" s="123">
        <f>D8+D28+D48</f>
        <v>0</v>
      </c>
      <c r="L8" s="123">
        <f t="shared" ref="L8:L12" si="3">SUM(J8:K8)</f>
        <v>223634551.99000001</v>
      </c>
      <c r="M8" s="123">
        <f t="shared" ref="M8:M16" si="4">IFERROR((L8/I8),0)</f>
        <v>4734.5735602218383</v>
      </c>
    </row>
    <row r="9" spans="1:13" x14ac:dyDescent="0.3">
      <c r="A9" s="125" t="str">
        <f>Baseload!A42</f>
        <v>Fuel Supplier 2:</v>
      </c>
      <c r="B9" s="135">
        <v>0</v>
      </c>
      <c r="C9" s="135">
        <v>0</v>
      </c>
      <c r="D9" s="135">
        <v>0</v>
      </c>
      <c r="E9" s="123">
        <f t="shared" si="1"/>
        <v>0</v>
      </c>
      <c r="F9" s="123">
        <f t="shared" si="2"/>
        <v>0</v>
      </c>
      <c r="H9" s="125" t="str">
        <f t="shared" ref="H9:H12" si="5">A9</f>
        <v>Fuel Supplier 2:</v>
      </c>
      <c r="I9" s="123">
        <f t="shared" ref="I9:K12" si="6">B9+B29+B49</f>
        <v>36289.6728</v>
      </c>
      <c r="J9" s="123">
        <f t="shared" si="6"/>
        <v>199161860.95019999</v>
      </c>
      <c r="K9" s="123">
        <f t="shared" si="6"/>
        <v>0</v>
      </c>
      <c r="L9" s="123">
        <f t="shared" si="3"/>
        <v>199161860.95019999</v>
      </c>
      <c r="M9" s="123">
        <f t="shared" si="4"/>
        <v>5488.1139890079139</v>
      </c>
    </row>
    <row r="10" spans="1:13" x14ac:dyDescent="0.3">
      <c r="A10" s="125" t="str">
        <f>Baseload!A47</f>
        <v>Fuel Supplier 3:</v>
      </c>
      <c r="B10" s="135">
        <v>0</v>
      </c>
      <c r="C10" s="135">
        <v>0</v>
      </c>
      <c r="D10" s="135">
        <v>0</v>
      </c>
      <c r="E10" s="123">
        <f t="shared" si="1"/>
        <v>0</v>
      </c>
      <c r="F10" s="123">
        <f t="shared" si="2"/>
        <v>0</v>
      </c>
      <c r="H10" s="125" t="str">
        <f t="shared" si="5"/>
        <v>Fuel Supplier 3:</v>
      </c>
      <c r="I10" s="123">
        <f t="shared" si="6"/>
        <v>0</v>
      </c>
      <c r="J10" s="123">
        <f t="shared" si="6"/>
        <v>0</v>
      </c>
      <c r="K10" s="123">
        <f t="shared" si="6"/>
        <v>0</v>
      </c>
      <c r="L10" s="123">
        <f t="shared" si="3"/>
        <v>0</v>
      </c>
      <c r="M10" s="123">
        <f t="shared" si="4"/>
        <v>0</v>
      </c>
    </row>
    <row r="11" spans="1:13" x14ac:dyDescent="0.3">
      <c r="A11" s="125" t="str">
        <f>Baseload!A52</f>
        <v>Fuel Supplier 4:</v>
      </c>
      <c r="B11" s="135">
        <v>0</v>
      </c>
      <c r="C11" s="135">
        <v>0</v>
      </c>
      <c r="D11" s="135">
        <v>0</v>
      </c>
      <c r="E11" s="123">
        <f t="shared" si="1"/>
        <v>0</v>
      </c>
      <c r="F11" s="123">
        <f t="shared" si="2"/>
        <v>0</v>
      </c>
      <c r="H11" s="125" t="str">
        <f t="shared" si="5"/>
        <v>Fuel Supplier 4:</v>
      </c>
      <c r="I11" s="123">
        <f t="shared" si="6"/>
        <v>0</v>
      </c>
      <c r="J11" s="123">
        <f t="shared" si="6"/>
        <v>0</v>
      </c>
      <c r="K11" s="123">
        <f t="shared" si="6"/>
        <v>0</v>
      </c>
      <c r="L11" s="123">
        <f t="shared" si="3"/>
        <v>0</v>
      </c>
      <c r="M11" s="123">
        <f t="shared" si="4"/>
        <v>0</v>
      </c>
    </row>
    <row r="12" spans="1:13" x14ac:dyDescent="0.3">
      <c r="A12" s="125" t="str">
        <f>Baseload!A57</f>
        <v>Fuel Supplier 5:</v>
      </c>
      <c r="B12" s="135">
        <v>0</v>
      </c>
      <c r="C12" s="135">
        <v>0</v>
      </c>
      <c r="D12" s="135">
        <v>0</v>
      </c>
      <c r="E12" s="123">
        <f t="shared" si="1"/>
        <v>0</v>
      </c>
      <c r="F12" s="123">
        <f t="shared" si="2"/>
        <v>0</v>
      </c>
      <c r="H12" s="125" t="str">
        <f t="shared" si="5"/>
        <v>Fuel Supplier 5:</v>
      </c>
      <c r="I12" s="123">
        <f t="shared" si="6"/>
        <v>0</v>
      </c>
      <c r="J12" s="123">
        <f t="shared" si="6"/>
        <v>0</v>
      </c>
      <c r="K12" s="123">
        <f t="shared" si="6"/>
        <v>0</v>
      </c>
      <c r="L12" s="123">
        <f t="shared" si="3"/>
        <v>0</v>
      </c>
      <c r="M12" s="123">
        <f t="shared" si="4"/>
        <v>0</v>
      </c>
    </row>
    <row r="13" spans="1:13" s="120" customFormat="1" x14ac:dyDescent="0.3">
      <c r="A13" s="125" t="s">
        <v>152</v>
      </c>
      <c r="B13" s="124">
        <f>SUM(B8:B12)</f>
        <v>47234.36</v>
      </c>
      <c r="C13" s="124">
        <f t="shared" ref="C13:E13" si="7">SUM(C8:C12)</f>
        <v>223634551.99000001</v>
      </c>
      <c r="D13" s="124">
        <f t="shared" si="7"/>
        <v>0</v>
      </c>
      <c r="E13" s="124">
        <f t="shared" si="7"/>
        <v>223634551.99000001</v>
      </c>
      <c r="F13" s="124">
        <f t="shared" si="2"/>
        <v>4734.5735602218383</v>
      </c>
      <c r="H13" s="125" t="s">
        <v>152</v>
      </c>
      <c r="I13" s="124">
        <f>SUM(I8:I12)</f>
        <v>83524.032800000001</v>
      </c>
      <c r="J13" s="124">
        <f t="shared" ref="J13" si="8">SUM(J8:J12)</f>
        <v>422796412.94019997</v>
      </c>
      <c r="K13" s="124">
        <f t="shared" ref="K13" si="9">SUM(K8:K12)</f>
        <v>0</v>
      </c>
      <c r="L13" s="124">
        <f>SUM(L8:L12)</f>
        <v>422796412.94019997</v>
      </c>
      <c r="M13" s="124">
        <f t="shared" si="4"/>
        <v>5061.9731682807342</v>
      </c>
    </row>
    <row r="14" spans="1:13" x14ac:dyDescent="0.3">
      <c r="A14" s="125" t="s">
        <v>170</v>
      </c>
      <c r="B14" s="123">
        <f>SUM(B5:B6,B13)</f>
        <v>90804.709999999992</v>
      </c>
      <c r="C14" s="123">
        <f t="shared" ref="C14:D14" si="10">SUM(C5:C6,C13)</f>
        <v>503403722.26999998</v>
      </c>
      <c r="D14" s="123">
        <f t="shared" si="10"/>
        <v>0</v>
      </c>
      <c r="E14" s="123">
        <f>SUM(E5:E6,E13)</f>
        <v>503403722.26999998</v>
      </c>
      <c r="F14" s="123">
        <f t="shared" si="2"/>
        <v>5543.8062879117178</v>
      </c>
      <c r="H14" s="125" t="s">
        <v>170</v>
      </c>
      <c r="I14" s="123">
        <f>SUM(I5:I6,I13)</f>
        <v>127094.38279999999</v>
      </c>
      <c r="J14" s="123">
        <f t="shared" ref="J14" si="11">SUM(J5:J6,J13)</f>
        <v>702565583.22019994</v>
      </c>
      <c r="K14" s="123">
        <f t="shared" ref="K14" si="12">SUM(K5:K6,K13)</f>
        <v>0</v>
      </c>
      <c r="L14" s="123">
        <f>SUM(L5:L6,L13)</f>
        <v>702565583.22019994</v>
      </c>
      <c r="M14" s="123">
        <f>IFERROR((L14/I14),0)</f>
        <v>5527.9042845330214</v>
      </c>
    </row>
    <row r="15" spans="1:13" x14ac:dyDescent="0.3">
      <c r="A15" s="125" t="s">
        <v>153</v>
      </c>
      <c r="B15" s="136">
        <v>30897.01</v>
      </c>
      <c r="C15" s="123">
        <v>0</v>
      </c>
      <c r="D15" s="123">
        <v>0</v>
      </c>
      <c r="E15" s="123">
        <f>B15*F14</f>
        <v>171287038.31567121</v>
      </c>
      <c r="F15" s="123">
        <f t="shared" si="2"/>
        <v>5543.8062879117178</v>
      </c>
      <c r="H15" s="125" t="s">
        <v>153</v>
      </c>
      <c r="I15" s="124">
        <f>B15+B35+B55</f>
        <v>92996.910399</v>
      </c>
      <c r="J15" s="123">
        <v>0</v>
      </c>
      <c r="K15" s="123">
        <v>0</v>
      </c>
      <c r="L15" s="123">
        <f>I15*M14</f>
        <v>514078019.44296557</v>
      </c>
      <c r="M15" s="123">
        <f>IFERROR((L15/I15),0)</f>
        <v>5527.9042845330214</v>
      </c>
    </row>
    <row r="16" spans="1:13" x14ac:dyDescent="0.3">
      <c r="A16" s="125" t="s">
        <v>154</v>
      </c>
      <c r="B16" s="123">
        <f>B14-B15</f>
        <v>59907.7</v>
      </c>
      <c r="C16" s="123">
        <f t="shared" ref="C16:E16" si="13">C14-C15</f>
        <v>503403722.26999998</v>
      </c>
      <c r="D16" s="123">
        <f t="shared" si="13"/>
        <v>0</v>
      </c>
      <c r="E16" s="123">
        <f t="shared" si="13"/>
        <v>332116683.95432878</v>
      </c>
      <c r="F16" s="123">
        <f t="shared" si="2"/>
        <v>5543.8062879117169</v>
      </c>
      <c r="H16" s="125" t="s">
        <v>154</v>
      </c>
      <c r="I16" s="123">
        <f>I14-I15</f>
        <v>34097.472400999992</v>
      </c>
      <c r="J16" s="123">
        <f t="shared" ref="J16" si="14">J14-J15</f>
        <v>702565583.22019994</v>
      </c>
      <c r="K16" s="123">
        <f t="shared" ref="K16" si="15">K14-K15</f>
        <v>0</v>
      </c>
      <c r="L16" s="123">
        <f t="shared" ref="L16" si="16">L14-L15</f>
        <v>188487563.77723438</v>
      </c>
      <c r="M16" s="123">
        <f t="shared" si="4"/>
        <v>5527.9042845330232</v>
      </c>
    </row>
    <row r="18" spans="1:13" s="119" customFormat="1" ht="28.8" x14ac:dyDescent="0.3">
      <c r="A18" s="129" t="s">
        <v>155</v>
      </c>
      <c r="B18" s="122" t="s">
        <v>168</v>
      </c>
      <c r="C18" s="122" t="s">
        <v>167</v>
      </c>
      <c r="D18" s="122" t="s">
        <v>166</v>
      </c>
      <c r="E18" s="122" t="s">
        <v>157</v>
      </c>
      <c r="F18" s="122" t="s">
        <v>158</v>
      </c>
      <c r="H18" s="129" t="s">
        <v>155</v>
      </c>
      <c r="I18" s="122" t="s">
        <v>168</v>
      </c>
      <c r="J18" s="122" t="s">
        <v>167</v>
      </c>
      <c r="K18" s="122" t="s">
        <v>166</v>
      </c>
      <c r="L18" s="122" t="s">
        <v>157</v>
      </c>
      <c r="M18" s="122" t="s">
        <v>158</v>
      </c>
    </row>
    <row r="19" spans="1:13" x14ac:dyDescent="0.3">
      <c r="A19" s="136">
        <v>38396501.899999999</v>
      </c>
      <c r="B19" s="126">
        <f>B15</f>
        <v>30897.01</v>
      </c>
      <c r="C19" s="126">
        <f>F15</f>
        <v>5543.8062879117178</v>
      </c>
      <c r="D19" s="130">
        <f>(B19*1000)/A19</f>
        <v>0.80468293909867872</v>
      </c>
      <c r="E19" s="148">
        <v>0</v>
      </c>
      <c r="F19" s="128">
        <f>(C19/1000)*D19</f>
        <v>4.4610063375505371</v>
      </c>
      <c r="H19" s="124">
        <f>A19+A39+A59</f>
        <v>116084083.03820001</v>
      </c>
      <c r="I19" s="126">
        <f>I15</f>
        <v>92996.910399</v>
      </c>
      <c r="J19" s="126">
        <f>M15</f>
        <v>5527.9042845330214</v>
      </c>
      <c r="K19" s="130">
        <f>(I19*1000)/H19</f>
        <v>0.80111681089299158</v>
      </c>
      <c r="L19" s="127">
        <f>E19</f>
        <v>0</v>
      </c>
      <c r="M19" s="128">
        <f>(J19/1000)*K19</f>
        <v>4.4284970513467989</v>
      </c>
    </row>
    <row r="22" spans="1:13" x14ac:dyDescent="0.3">
      <c r="A22" s="125" t="s">
        <v>147</v>
      </c>
      <c r="B22" s="131" t="s">
        <v>159</v>
      </c>
      <c r="C22" s="132"/>
      <c r="D22" s="133"/>
    </row>
    <row r="23" spans="1:13" ht="9" customHeight="1" x14ac:dyDescent="0.3"/>
    <row r="24" spans="1:13" s="118" customFormat="1" ht="28.8" x14ac:dyDescent="0.3">
      <c r="A24" s="149"/>
      <c r="B24" s="150" t="s">
        <v>165</v>
      </c>
      <c r="C24" s="150" t="s">
        <v>169</v>
      </c>
      <c r="D24" s="122" t="s">
        <v>172</v>
      </c>
      <c r="E24" s="150" t="s">
        <v>156</v>
      </c>
      <c r="F24" s="122" t="s">
        <v>167</v>
      </c>
    </row>
    <row r="25" spans="1:13" x14ac:dyDescent="0.3">
      <c r="A25" s="125" t="s">
        <v>149</v>
      </c>
      <c r="B25" s="123">
        <f>B16</f>
        <v>59907.7</v>
      </c>
      <c r="C25" s="364">
        <f>SUM(E16)</f>
        <v>332116683.95432878</v>
      </c>
      <c r="D25" s="365"/>
      <c r="E25" s="123">
        <f>SUM(C25:D25)</f>
        <v>332116683.95432878</v>
      </c>
      <c r="F25" s="123">
        <f>IFERROR((E25/B25),0)</f>
        <v>5543.8062879117169</v>
      </c>
      <c r="H25" s="121" t="s">
        <v>163</v>
      </c>
      <c r="I25" s="137"/>
      <c r="J25" s="134" t="s">
        <v>107</v>
      </c>
      <c r="K25" s="66"/>
    </row>
    <row r="26" spans="1:13" x14ac:dyDescent="0.3">
      <c r="A26" s="125" t="s">
        <v>150</v>
      </c>
      <c r="B26" s="135">
        <v>0</v>
      </c>
      <c r="C26" s="135">
        <v>0</v>
      </c>
      <c r="D26" s="135">
        <v>0</v>
      </c>
      <c r="E26" s="123">
        <f>SUM(C26:D26)</f>
        <v>0</v>
      </c>
      <c r="F26" s="123">
        <f>IFERROR((E26/B26),0)</f>
        <v>0</v>
      </c>
    </row>
    <row r="27" spans="1:13" x14ac:dyDescent="0.3">
      <c r="A27" s="359" t="s">
        <v>151</v>
      </c>
      <c r="B27" s="360"/>
      <c r="C27" s="360"/>
      <c r="D27" s="360"/>
      <c r="E27" s="360"/>
      <c r="F27" s="361"/>
    </row>
    <row r="28" spans="1:13" x14ac:dyDescent="0.3">
      <c r="A28" s="125" t="str">
        <f>A8</f>
        <v>Fuel Supplier 1:</v>
      </c>
      <c r="B28" s="135">
        <v>0</v>
      </c>
      <c r="C28" s="135">
        <v>0</v>
      </c>
      <c r="D28" s="135">
        <v>0</v>
      </c>
      <c r="E28" s="123">
        <f t="shared" ref="E28:E32" si="17">SUM(C28:D28)</f>
        <v>0</v>
      </c>
      <c r="F28" s="123">
        <f t="shared" ref="F28:F36" si="18">IFERROR((E28/B28),0)</f>
        <v>0</v>
      </c>
    </row>
    <row r="29" spans="1:13" x14ac:dyDescent="0.3">
      <c r="A29" s="125" t="str">
        <f t="shared" ref="A29:A32" si="19">A9</f>
        <v>Fuel Supplier 2:</v>
      </c>
      <c r="B29" s="135">
        <v>0</v>
      </c>
      <c r="C29" s="135">
        <v>0</v>
      </c>
      <c r="D29" s="135">
        <v>0</v>
      </c>
      <c r="E29" s="123">
        <f t="shared" si="17"/>
        <v>0</v>
      </c>
      <c r="F29" s="123">
        <f t="shared" si="18"/>
        <v>0</v>
      </c>
    </row>
    <row r="30" spans="1:13" x14ac:dyDescent="0.3">
      <c r="A30" s="125" t="str">
        <f t="shared" si="19"/>
        <v>Fuel Supplier 3:</v>
      </c>
      <c r="B30" s="135">
        <v>0</v>
      </c>
      <c r="C30" s="135">
        <v>0</v>
      </c>
      <c r="D30" s="135">
        <v>0</v>
      </c>
      <c r="E30" s="123">
        <f t="shared" si="17"/>
        <v>0</v>
      </c>
      <c r="F30" s="123">
        <f t="shared" si="18"/>
        <v>0</v>
      </c>
    </row>
    <row r="31" spans="1:13" x14ac:dyDescent="0.3">
      <c r="A31" s="125" t="str">
        <f t="shared" si="19"/>
        <v>Fuel Supplier 4:</v>
      </c>
      <c r="B31" s="135">
        <v>0</v>
      </c>
      <c r="C31" s="135">
        <v>0</v>
      </c>
      <c r="D31" s="135">
        <v>0</v>
      </c>
      <c r="E31" s="123">
        <f t="shared" si="17"/>
        <v>0</v>
      </c>
      <c r="F31" s="123">
        <f t="shared" si="18"/>
        <v>0</v>
      </c>
    </row>
    <row r="32" spans="1:13" x14ac:dyDescent="0.3">
      <c r="A32" s="125" t="str">
        <f t="shared" si="19"/>
        <v>Fuel Supplier 5:</v>
      </c>
      <c r="B32" s="135">
        <v>0</v>
      </c>
      <c r="C32" s="135">
        <v>0</v>
      </c>
      <c r="D32" s="135">
        <v>0</v>
      </c>
      <c r="E32" s="123">
        <f t="shared" si="17"/>
        <v>0</v>
      </c>
      <c r="F32" s="123">
        <f t="shared" si="18"/>
        <v>0</v>
      </c>
    </row>
    <row r="33" spans="1:6" s="120" customFormat="1" x14ac:dyDescent="0.3">
      <c r="A33" s="125" t="s">
        <v>152</v>
      </c>
      <c r="B33" s="124">
        <f>SUM(B28:B32)</f>
        <v>0</v>
      </c>
      <c r="C33" s="124">
        <f t="shared" ref="C33" si="20">SUM(C28:C32)</f>
        <v>0</v>
      </c>
      <c r="D33" s="124">
        <f t="shared" ref="D33" si="21">SUM(D28:D32)</f>
        <v>0</v>
      </c>
      <c r="E33" s="124">
        <f t="shared" ref="E33" si="22">SUM(E28:E32)</f>
        <v>0</v>
      </c>
      <c r="F33" s="124">
        <f t="shared" si="18"/>
        <v>0</v>
      </c>
    </row>
    <row r="34" spans="1:6" x14ac:dyDescent="0.3">
      <c r="A34" s="125" t="s">
        <v>170</v>
      </c>
      <c r="B34" s="123">
        <f>SUM(B25:B26,B33)</f>
        <v>59907.7</v>
      </c>
      <c r="C34" s="123">
        <f t="shared" ref="C34" si="23">SUM(C25:C26,C33)</f>
        <v>332116683.95432878</v>
      </c>
      <c r="D34" s="123">
        <f t="shared" ref="D34" si="24">SUM(D25:D26,D33)</f>
        <v>0</v>
      </c>
      <c r="E34" s="123">
        <f>SUM(E25:E26,E33)</f>
        <v>332116683.95432878</v>
      </c>
      <c r="F34" s="123">
        <f t="shared" si="18"/>
        <v>5543.8062879117169</v>
      </c>
    </row>
    <row r="35" spans="1:6" x14ac:dyDescent="0.3">
      <c r="A35" s="125" t="s">
        <v>153</v>
      </c>
      <c r="B35" s="136">
        <v>31205.980100000001</v>
      </c>
      <c r="C35" s="123">
        <v>0</v>
      </c>
      <c r="D35" s="123">
        <v>0</v>
      </c>
      <c r="E35" s="123">
        <f>B35*F34</f>
        <v>172999908.69882792</v>
      </c>
      <c r="F35" s="123">
        <f t="shared" si="18"/>
        <v>5543.8062879117169</v>
      </c>
    </row>
    <row r="36" spans="1:6" x14ac:dyDescent="0.3">
      <c r="A36" s="125" t="s">
        <v>154</v>
      </c>
      <c r="B36" s="123">
        <f>B34-B35</f>
        <v>28701.719899999996</v>
      </c>
      <c r="C36" s="123">
        <f t="shared" ref="C36" si="25">C34-C35</f>
        <v>332116683.95432878</v>
      </c>
      <c r="D36" s="123">
        <f t="shared" ref="D36" si="26">D34-D35</f>
        <v>0</v>
      </c>
      <c r="E36" s="123">
        <f t="shared" ref="E36" si="27">E34-E35</f>
        <v>159116775.25550085</v>
      </c>
      <c r="F36" s="123">
        <f t="shared" si="18"/>
        <v>5543.8062879117178</v>
      </c>
    </row>
    <row r="38" spans="1:6" s="119" customFormat="1" ht="28.8" x14ac:dyDescent="0.3">
      <c r="A38" s="129" t="s">
        <v>155</v>
      </c>
      <c r="B38" s="122" t="s">
        <v>168</v>
      </c>
      <c r="C38" s="122" t="s">
        <v>167</v>
      </c>
      <c r="D38" s="122" t="s">
        <v>166</v>
      </c>
      <c r="E38" s="122" t="s">
        <v>157</v>
      </c>
      <c r="F38" s="122" t="s">
        <v>158</v>
      </c>
    </row>
    <row r="39" spans="1:6" x14ac:dyDescent="0.3">
      <c r="A39" s="136">
        <v>39236152.090000004</v>
      </c>
      <c r="B39" s="126">
        <f>B35</f>
        <v>31205.980100000001</v>
      </c>
      <c r="C39" s="126">
        <f>F35</f>
        <v>5543.8062879117169</v>
      </c>
      <c r="D39" s="130">
        <f>(B39*1000)/A39</f>
        <v>0.79533742321162459</v>
      </c>
      <c r="E39" s="127">
        <f>E19</f>
        <v>0</v>
      </c>
      <c r="F39" s="128">
        <f>(C39/1000)*D39</f>
        <v>4.409196607812107</v>
      </c>
    </row>
    <row r="42" spans="1:6" x14ac:dyDescent="0.3">
      <c r="A42" s="125" t="s">
        <v>147</v>
      </c>
      <c r="B42" s="131" t="s">
        <v>161</v>
      </c>
      <c r="C42" s="132"/>
      <c r="D42" s="133"/>
    </row>
    <row r="43" spans="1:6" ht="9" customHeight="1" x14ac:dyDescent="0.3"/>
    <row r="44" spans="1:6" s="118" customFormat="1" ht="28.8" x14ac:dyDescent="0.3">
      <c r="A44" s="149"/>
      <c r="B44" s="150" t="s">
        <v>165</v>
      </c>
      <c r="C44" s="150" t="s">
        <v>169</v>
      </c>
      <c r="D44" s="122" t="s">
        <v>172</v>
      </c>
      <c r="E44" s="150" t="s">
        <v>156</v>
      </c>
      <c r="F44" s="122" t="s">
        <v>167</v>
      </c>
    </row>
    <row r="45" spans="1:6" x14ac:dyDescent="0.3">
      <c r="A45" s="125" t="s">
        <v>149</v>
      </c>
      <c r="B45" s="123">
        <f>B36</f>
        <v>28701.719899999996</v>
      </c>
      <c r="C45" s="364">
        <f>SUM(E36)</f>
        <v>159116775.25550085</v>
      </c>
      <c r="D45" s="365"/>
      <c r="E45" s="123">
        <f>SUM(C45:D45)</f>
        <v>159116775.25550085</v>
      </c>
      <c r="F45" s="123">
        <f>IFERROR((E45/B45),0)</f>
        <v>5543.8062879117178</v>
      </c>
    </row>
    <row r="46" spans="1:6" x14ac:dyDescent="0.3">
      <c r="A46" s="125" t="s">
        <v>150</v>
      </c>
      <c r="B46" s="135">
        <v>0</v>
      </c>
      <c r="C46" s="135">
        <v>0</v>
      </c>
      <c r="D46" s="135">
        <v>0</v>
      </c>
      <c r="E46" s="123">
        <f>SUM(C46:D46)</f>
        <v>0</v>
      </c>
      <c r="F46" s="123">
        <f>IFERROR((E46/B46),0)</f>
        <v>0</v>
      </c>
    </row>
    <row r="47" spans="1:6" x14ac:dyDescent="0.3">
      <c r="A47" s="359" t="s">
        <v>151</v>
      </c>
      <c r="B47" s="360"/>
      <c r="C47" s="360"/>
      <c r="D47" s="360"/>
      <c r="E47" s="360"/>
      <c r="F47" s="361"/>
    </row>
    <row r="48" spans="1:6" x14ac:dyDescent="0.3">
      <c r="A48" s="125" t="str">
        <f>A28</f>
        <v>Fuel Supplier 1:</v>
      </c>
      <c r="B48" s="135">
        <v>0</v>
      </c>
      <c r="C48" s="135">
        <v>0</v>
      </c>
      <c r="D48" s="135">
        <v>0</v>
      </c>
      <c r="E48" s="123">
        <f t="shared" ref="E48:E52" si="28">SUM(C48:D48)</f>
        <v>0</v>
      </c>
      <c r="F48" s="123">
        <f t="shared" ref="F48:F56" si="29">IFERROR((E48/B48),0)</f>
        <v>0</v>
      </c>
    </row>
    <row r="49" spans="1:6" x14ac:dyDescent="0.3">
      <c r="A49" s="125" t="str">
        <f t="shared" ref="A49:A52" si="30">A29</f>
        <v>Fuel Supplier 2:</v>
      </c>
      <c r="B49" s="135">
        <v>36289.6728</v>
      </c>
      <c r="C49" s="135">
        <v>199161860.95019999</v>
      </c>
      <c r="D49" s="135">
        <v>0</v>
      </c>
      <c r="E49" s="123">
        <f t="shared" si="28"/>
        <v>199161860.95019999</v>
      </c>
      <c r="F49" s="123">
        <f t="shared" si="29"/>
        <v>5488.1139890079139</v>
      </c>
    </row>
    <row r="50" spans="1:6" x14ac:dyDescent="0.3">
      <c r="A50" s="125" t="str">
        <f t="shared" si="30"/>
        <v>Fuel Supplier 3:</v>
      </c>
      <c r="B50" s="135">
        <v>0</v>
      </c>
      <c r="C50" s="135">
        <v>0</v>
      </c>
      <c r="D50" s="135">
        <v>0</v>
      </c>
      <c r="E50" s="123">
        <f t="shared" si="28"/>
        <v>0</v>
      </c>
      <c r="F50" s="123">
        <f t="shared" si="29"/>
        <v>0</v>
      </c>
    </row>
    <row r="51" spans="1:6" x14ac:dyDescent="0.3">
      <c r="A51" s="125" t="str">
        <f t="shared" si="30"/>
        <v>Fuel Supplier 4:</v>
      </c>
      <c r="B51" s="135">
        <v>0</v>
      </c>
      <c r="C51" s="135">
        <v>0</v>
      </c>
      <c r="D51" s="135">
        <v>0</v>
      </c>
      <c r="E51" s="123">
        <f t="shared" si="28"/>
        <v>0</v>
      </c>
      <c r="F51" s="123">
        <f t="shared" si="29"/>
        <v>0</v>
      </c>
    </row>
    <row r="52" spans="1:6" x14ac:dyDescent="0.3">
      <c r="A52" s="125" t="str">
        <f t="shared" si="30"/>
        <v>Fuel Supplier 5:</v>
      </c>
      <c r="B52" s="135">
        <v>0</v>
      </c>
      <c r="C52" s="135">
        <v>0</v>
      </c>
      <c r="D52" s="135">
        <v>0</v>
      </c>
      <c r="E52" s="123">
        <f t="shared" si="28"/>
        <v>0</v>
      </c>
      <c r="F52" s="123">
        <f t="shared" si="29"/>
        <v>0</v>
      </c>
    </row>
    <row r="53" spans="1:6" s="120" customFormat="1" x14ac:dyDescent="0.3">
      <c r="A53" s="125" t="s">
        <v>152</v>
      </c>
      <c r="B53" s="124">
        <f>SUM(B48:B52)</f>
        <v>36289.6728</v>
      </c>
      <c r="C53" s="124">
        <f t="shared" ref="C53" si="31">SUM(C48:C52)</f>
        <v>199161860.95019999</v>
      </c>
      <c r="D53" s="124">
        <f t="shared" ref="D53" si="32">SUM(D48:D52)</f>
        <v>0</v>
      </c>
      <c r="E53" s="124">
        <f t="shared" ref="E53" si="33">SUM(E48:E52)</f>
        <v>199161860.95019999</v>
      </c>
      <c r="F53" s="124">
        <f t="shared" si="29"/>
        <v>5488.1139890079139</v>
      </c>
    </row>
    <row r="54" spans="1:6" x14ac:dyDescent="0.3">
      <c r="A54" s="125" t="s">
        <v>170</v>
      </c>
      <c r="B54" s="123">
        <f>SUM(B45:B46,B53)</f>
        <v>64991.392699999997</v>
      </c>
      <c r="C54" s="123">
        <f t="shared" ref="C54" si="34">SUM(C45:C46,C53)</f>
        <v>358278636.20570087</v>
      </c>
      <c r="D54" s="123">
        <f t="shared" ref="D54" si="35">SUM(D45:D46,D53)</f>
        <v>0</v>
      </c>
      <c r="E54" s="123">
        <f>SUM(E45:E46,E53)</f>
        <v>358278636.20570087</v>
      </c>
      <c r="F54" s="123">
        <f t="shared" si="29"/>
        <v>5512.7090114765442</v>
      </c>
    </row>
    <row r="55" spans="1:6" x14ac:dyDescent="0.3">
      <c r="A55" s="125" t="s">
        <v>153</v>
      </c>
      <c r="B55" s="136">
        <v>30893.920299000001</v>
      </c>
      <c r="C55" s="123">
        <v>0</v>
      </c>
      <c r="D55" s="123">
        <v>0</v>
      </c>
      <c r="E55" s="123">
        <f>B55*F54</f>
        <v>170309192.83213544</v>
      </c>
      <c r="F55" s="123">
        <f t="shared" si="29"/>
        <v>5512.7090114765442</v>
      </c>
    </row>
    <row r="56" spans="1:6" x14ac:dyDescent="0.3">
      <c r="A56" s="125" t="s">
        <v>154</v>
      </c>
      <c r="B56" s="123">
        <f>B54-B55</f>
        <v>34097.472400999992</v>
      </c>
      <c r="C56" s="123">
        <f t="shared" ref="C56" si="36">C54-C55</f>
        <v>358278636.20570087</v>
      </c>
      <c r="D56" s="123">
        <f t="shared" ref="D56" si="37">D54-D55</f>
        <v>0</v>
      </c>
      <c r="E56" s="123">
        <f t="shared" ref="E56" si="38">E54-E55</f>
        <v>187969443.37356544</v>
      </c>
      <c r="F56" s="123">
        <f t="shared" si="29"/>
        <v>5512.7090114765451</v>
      </c>
    </row>
    <row r="58" spans="1:6" s="119" customFormat="1" ht="28.8" x14ac:dyDescent="0.3">
      <c r="A58" s="129" t="s">
        <v>155</v>
      </c>
      <c r="B58" s="122" t="s">
        <v>168</v>
      </c>
      <c r="C58" s="122" t="s">
        <v>167</v>
      </c>
      <c r="D58" s="122" t="s">
        <v>166</v>
      </c>
      <c r="E58" s="122" t="s">
        <v>157</v>
      </c>
      <c r="F58" s="122" t="s">
        <v>158</v>
      </c>
    </row>
    <row r="59" spans="1:6" x14ac:dyDescent="0.3">
      <c r="A59" s="136">
        <v>38451429.048199996</v>
      </c>
      <c r="B59" s="126">
        <f>B55</f>
        <v>30893.920299000001</v>
      </c>
      <c r="C59" s="126">
        <f>F55</f>
        <v>5512.7090114765442</v>
      </c>
      <c r="D59" s="130">
        <f>(B59*1000)/A59</f>
        <v>0.80345311120358009</v>
      </c>
      <c r="E59" s="127">
        <f>E19</f>
        <v>0</v>
      </c>
      <c r="F59" s="128">
        <f>(C59/1000)*D59</f>
        <v>4.4292032064308424</v>
      </c>
    </row>
  </sheetData>
  <sheetProtection algorithmName="SHA-512" hashValue="J7AqDQ5WH2R20rhTrJVsjcRnlyz5A2jBro4pKFUG82QxnnYCtpzCXlLW9bRud2YBYNNaYd2MBghWWbMeKL9jHQ==" saltValue="5W01lAj9bJ+4esXav/jI3A==" spinCount="100000" sheet="1" objects="1" scenarios="1"/>
  <mergeCells count="8">
    <mergeCell ref="A7:F7"/>
    <mergeCell ref="A27:F27"/>
    <mergeCell ref="A47:F47"/>
    <mergeCell ref="H7:M7"/>
    <mergeCell ref="C5:D5"/>
    <mergeCell ref="C25:D25"/>
    <mergeCell ref="C45:D4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Baseload</vt:lpstr>
      <vt:lpstr>Sheet1</vt:lpstr>
      <vt:lpstr>VOM Declaration</vt:lpstr>
      <vt:lpstr>Fuel Cost Declaration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B. Lagrada</dc:creator>
  <cp:lastModifiedBy>Anthony Lagrada</cp:lastModifiedBy>
  <dcterms:created xsi:type="dcterms:W3CDTF">2022-08-25T07:13:27Z</dcterms:created>
  <dcterms:modified xsi:type="dcterms:W3CDTF">2024-07-08T06:18:49Z</dcterms:modified>
</cp:coreProperties>
</file>